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Tina数据迁移\桌面\Tina 新桌面\tina\Tina-表格-10.15\GBP客户信息\排程\2024-1-1-AAF FEE调整\"/>
    </mc:Choice>
  </mc:AlternateContent>
  <xr:revisionPtr revIDLastSave="0" documentId="13_ncr:1_{F8A05534-04C3-4E01-8E06-551EDE8D08D1}" xr6:coauthVersionLast="47" xr6:coauthVersionMax="47" xr10:uidLastSave="{00000000-0000-0000-0000-000000000000}"/>
  <bookViews>
    <workbookView xWindow="-108" yWindow="-108" windowWidth="23256" windowHeight="12576" activeTab="2" xr2:uid="{0DDF92BD-A7FE-4957-9074-334221733CD9}"/>
  </bookViews>
  <sheets>
    <sheet name="Disclaimer" sheetId="3" r:id="rId1"/>
    <sheet name="Instructions" sheetId="6" r:id="rId2"/>
    <sheet name="Basic Calculator" sheetId="1" r:id="rId3"/>
    <sheet name="Inflation" sheetId="8" state="hidden" r:id="rId4"/>
  </sheets>
  <definedNames>
    <definedName name="AAF_Class" localSheetId="2">'Basic Calculator'!$C$8</definedName>
    <definedName name="Additional_AAF_New" localSheetId="2">'Basic Calculator'!$C$42</definedName>
    <definedName name="Base_Cost_New" localSheetId="2">'Basic Calculator'!$C$27</definedName>
    <definedName name="Base_Costs_Lookup">Base_Costs[[AAF Class]:[Trader (USD)]]</definedName>
    <definedName name="CH_Turnover" localSheetId="2">'Basic Calculator'!$C$4</definedName>
    <definedName name="Class_Base_Turnover_New" localSheetId="2">'Basic Calculator'!$C$26</definedName>
    <definedName name="Class_Numbers">Variable_Costs[AAF Class]</definedName>
    <definedName name="CoC_Cert_Types">'Basic Calculator'!$F$3:$H$3</definedName>
    <definedName name="CoC_Group_Member_Charge">#REF!</definedName>
    <definedName name="CoC_Type" localSheetId="2">'Basic Calculator'!$C$3</definedName>
    <definedName name="COC_Type_Index">'Basic Calculator'!$C$13</definedName>
    <definedName name="FM_AAF_Due" localSheetId="2">'Basic Calculator'!#REF!</definedName>
    <definedName name="FM_Area" localSheetId="2">'Basic Calculator'!#REF!</definedName>
    <definedName name="FM_Base_Fee">'Basic Calculator'!#REF!</definedName>
    <definedName name="FM_Cert_Types">'Basic Calculator'!#REF!</definedName>
    <definedName name="FM_Costs_Lookup">#REF!</definedName>
    <definedName name="FM_Type" localSheetId="2">'Basic Calculator'!#REF!</definedName>
    <definedName name="Inflation_Rate">Inflation!$B$1</definedName>
    <definedName name="Min_CoC_Fee">'Basic Calculator'!$C$46</definedName>
    <definedName name="Processor_to_Trader_Conversion">Inflation!$B$21</definedName>
    <definedName name="Turnover_Bands_Min">Base_Costs[Turnover (Min) (USD)]</definedName>
    <definedName name="Variable_Costs_Lookup">Variable_Costs[[AAF Class]:[Trader (USD)]]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1" l="1"/>
  <c r="C8" i="1"/>
  <c r="C26" i="1" s="1" a="1"/>
  <c r="C26" i="1" s="1"/>
  <c r="C41" i="1" s="1"/>
  <c r="C58" i="8"/>
  <c r="C57" i="8"/>
  <c r="C56" i="8"/>
  <c r="C55" i="8"/>
  <c r="C54" i="8"/>
  <c r="C53" i="8"/>
  <c r="C52" i="8"/>
  <c r="C51" i="8"/>
  <c r="C50" i="8"/>
  <c r="C49" i="8"/>
  <c r="C48" i="8"/>
  <c r="C47" i="8"/>
  <c r="C46" i="8"/>
  <c r="C45" i="8"/>
  <c r="E6" i="8"/>
  <c r="E25" i="8" s="1"/>
  <c r="E7" i="8"/>
  <c r="D33" i="1" s="1"/>
  <c r="E8" i="8"/>
  <c r="D34" i="1" s="1"/>
  <c r="E9" i="8"/>
  <c r="E34" i="8" s="1"/>
  <c r="E10" i="8"/>
  <c r="D36" i="1" s="1"/>
  <c r="E11" i="8"/>
  <c r="E36" i="8" s="1"/>
  <c r="D36" i="8" s="1"/>
  <c r="E12" i="8"/>
  <c r="E37" i="8" s="1"/>
  <c r="E38" i="1" s="1"/>
  <c r="E13" i="8"/>
  <c r="C46" i="1" s="1"/>
  <c r="C47" i="1" s="1"/>
  <c r="E14" i="8"/>
  <c r="E15" i="8"/>
  <c r="E16" i="8"/>
  <c r="E17" i="8"/>
  <c r="D38" i="1"/>
  <c r="E18" i="1"/>
  <c r="D18" i="1"/>
  <c r="D24" i="8"/>
  <c r="D38" i="8"/>
  <c r="E32" i="8" l="1"/>
  <c r="C40" i="1"/>
  <c r="C42" i="1" s="1"/>
  <c r="E33" i="8"/>
  <c r="E35" i="8"/>
  <c r="E26" i="8"/>
  <c r="D32" i="1"/>
  <c r="E31" i="8"/>
  <c r="E39" i="8" s="1"/>
  <c r="D37" i="1"/>
  <c r="E36" i="1"/>
  <c r="D37" i="8"/>
  <c r="D34" i="8"/>
  <c r="E35" i="1"/>
  <c r="D35" i="1"/>
  <c r="E37" i="1"/>
  <c r="E32" i="1" l="1"/>
  <c r="E40" i="8"/>
  <c r="E52" i="8" s="1"/>
  <c r="D52" i="8" s="1"/>
  <c r="E27" i="8"/>
  <c r="E46" i="8" s="1"/>
  <c r="D46" i="8" s="1"/>
  <c r="E45" i="8"/>
  <c r="D45" i="8" s="1"/>
  <c r="D35" i="8"/>
  <c r="E19" i="1"/>
  <c r="D31" i="8"/>
  <c r="E34" i="1"/>
  <c r="D33" i="8"/>
  <c r="D32" i="8"/>
  <c r="E33" i="1"/>
  <c r="D19" i="1"/>
  <c r="D25" i="8"/>
  <c r="E28" i="8" l="1"/>
  <c r="E47" i="8" s="1"/>
  <c r="D47" i="8" s="1"/>
  <c r="E41" i="8"/>
  <c r="E53" i="8" s="1"/>
  <c r="D53" i="8" s="1"/>
  <c r="D39" i="8"/>
  <c r="D26" i="8"/>
  <c r="D20" i="1"/>
  <c r="C27" i="1" s="1"/>
  <c r="C32" i="1"/>
  <c r="C33" i="1"/>
  <c r="C34" i="1"/>
  <c r="C35" i="1"/>
  <c r="C36" i="1"/>
  <c r="C37" i="1"/>
  <c r="C38" i="1"/>
  <c r="B32" i="1"/>
  <c r="B33" i="1"/>
  <c r="B34" i="1"/>
  <c r="B35" i="1"/>
  <c r="B36" i="1"/>
  <c r="B37" i="1"/>
  <c r="B38" i="1"/>
  <c r="E42" i="8" l="1"/>
  <c r="E54" i="8" s="1"/>
  <c r="D54" i="8" s="1"/>
  <c r="E29" i="8"/>
  <c r="E48" i="8" s="1"/>
  <c r="D48" i="8" s="1"/>
  <c r="D40" i="8"/>
  <c r="E20" i="1"/>
  <c r="D27" i="8"/>
  <c r="D21" i="1"/>
  <c r="E21" i="1"/>
  <c r="D41" i="8"/>
  <c r="E30" i="8" l="1"/>
  <c r="E49" i="8" s="1"/>
  <c r="D49" i="8" s="1"/>
  <c r="E43" i="8"/>
  <c r="E55" i="8" s="1"/>
  <c r="D55" i="8" s="1"/>
  <c r="D42" i="8"/>
  <c r="E22" i="1"/>
  <c r="D28" i="8"/>
  <c r="D22" i="1"/>
  <c r="C9" i="1"/>
  <c r="E51" i="8" l="1"/>
  <c r="D51" i="8" s="1"/>
  <c r="E50" i="8"/>
  <c r="D50" i="8" s="1"/>
  <c r="E44" i="8"/>
  <c r="E56" i="8" s="1"/>
  <c r="D56" i="8" s="1"/>
  <c r="D43" i="8"/>
  <c r="E23" i="1"/>
  <c r="D29" i="8"/>
  <c r="D23" i="1"/>
  <c r="E57" i="8" l="1"/>
  <c r="D57" i="8" s="1"/>
  <c r="E58" i="8"/>
  <c r="D58" i="8" s="1"/>
  <c r="D30" i="8"/>
  <c r="D24" i="1"/>
  <c r="D44" i="8"/>
  <c r="E24"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<sst xmlns="http://schemas.openxmlformats.org/spreadsheetml/2006/main" count="154" uniqueCount="122">
  <si>
    <t>Inputs: Certificate Holder Description</t>
  </si>
  <si>
    <t>Options</t>
  </si>
  <si>
    <t>Trader</t>
  </si>
  <si>
    <t>Result</t>
  </si>
  <si>
    <t>AAF Due</t>
  </si>
  <si>
    <t>Computation</t>
  </si>
  <si>
    <t>AAF Class</t>
  </si>
  <si>
    <t>Processor</t>
  </si>
  <si>
    <t>Minimum AAF</t>
  </si>
  <si>
    <r>
      <t>Disclaimer for Annual Administration Fee (AAF) Calculator</t>
    </r>
    <r>
      <rPr>
        <sz val="12"/>
        <color rgb="FFFF0000"/>
        <rFont val="Arial"/>
        <family val="2"/>
      </rPr>
      <t> </t>
    </r>
  </si>
  <si>
    <t>The content of this calculator is created with the greatest possible care. However, FSC accepts no responsibility for the accuracy, completeness and up-to-date nature of the calculator provided. Note that not all certification types and scenarios are included. The use of the calculator is at the user's own risk. In particular, the calculation in the calculator does not result in any obligation regarding the exact amount of the AAF owed to FSC by certification bodies. For this exact amount certificate holders are to consult their certification bodies. </t>
  </si>
  <si>
    <t>The existence and the content of this calculator are to be kept confidential and the calculator is not to be embedded in other IT systems or shared beyond the direct recipients of this calculator, especially not with certificate holders.</t>
  </si>
  <si>
    <t xml:space="preserve">User instructions </t>
  </si>
  <si>
    <t>Overview</t>
  </si>
  <si>
    <t>&lt;Disclaimer&gt;</t>
  </si>
  <si>
    <t>Please read this before use. Use of the calculator is an acknowledgement that you have read and understood this disclaimer. </t>
  </si>
  <si>
    <t>&lt;Basic Calculator&gt;</t>
  </si>
  <si>
    <t>Scope</t>
  </si>
  <si>
    <t>This is a reference tool only. It must be used in conjunction with the AAF policy.</t>
  </si>
  <si>
    <t>Instructions</t>
  </si>
  <si>
    <t>The new AAF Class and AAF Due will be automatically calculated and displayed.</t>
  </si>
  <si>
    <t>Forest Products Turnover (USD)</t>
  </si>
  <si>
    <t>COC Type</t>
  </si>
  <si>
    <t>Base Fee Computation</t>
  </si>
  <si>
    <t>COC Type Index</t>
  </si>
  <si>
    <t>Turnover (Min) (USD)</t>
  </si>
  <si>
    <t>Processor (USD)</t>
  </si>
  <si>
    <t>Trader (USD)</t>
  </si>
  <si>
    <t>Class Base Turnover (USD)</t>
  </si>
  <si>
    <t>AAF Base Fee (USD)</t>
  </si>
  <si>
    <t>Variable Fee (per USD 1m)</t>
  </si>
  <si>
    <t>Excess Turnover (above base)</t>
  </si>
  <si>
    <t>Additional AAF Due (USD)</t>
  </si>
  <si>
    <t>Min. COC AAF (USD)</t>
  </si>
  <si>
    <t>Variable Fee Computation</t>
  </si>
  <si>
    <t>The purpose of the Bulk Calculator is to provide a basis for allowing CBs to calculate new invoices for each of their CHs.</t>
  </si>
  <si>
    <t>Enter COC Type and aggregate Forest Products Turnover in the cells highlighted in yellow.</t>
  </si>
  <si>
    <t xml:space="preserve">The more complicated fees for group certifications cannot be calculated using this tool. </t>
  </si>
  <si>
    <t>This tool does not check whether the listed combination of sites is allowed under FSC normative rules.</t>
  </si>
  <si>
    <t>&lt;COC Group Calculator&gt;</t>
  </si>
  <si>
    <t>Enter number of members and relevant aggregate Forest Products Turnover figures in the cells highlighted in yellow.</t>
  </si>
  <si>
    <t>This is not a full AAF calculator but 'only' a calculator for Group COC certifications.</t>
  </si>
  <si>
    <t>First determine the aggregate Forest Products Turnover for all sites involved in the group, split between Processor and Trader group members.</t>
  </si>
  <si>
    <t>&lt;Bulk COC Calculator&gt;</t>
  </si>
  <si>
    <t xml:space="preserve">Instead of manually re-entering each CH's turnover in the Basic Calculator, this Bulk Calculator is a starting point, which can be adapted by the CBs. </t>
  </si>
  <si>
    <t>This demonstration contains 50 rows: drag down formulae to create as many extra rows as needed.</t>
  </si>
  <si>
    <t>Adapt the ID reference and add extra columns as may be useful for your purposes.</t>
  </si>
  <si>
    <t>As with the Basic Calculator, first determine the aggregate Forest Products Turnover for all site(s) involved in each certification.</t>
  </si>
  <si>
    <t>Each row represents a separate certification.</t>
  </si>
  <si>
    <t>Enter the ID, COC Type and aggregate Forest Products Turnover in the columns highlighted in yellow.</t>
  </si>
  <si>
    <t>The new AAF Class and AAF Due will be automatically calculated and displayed in the adjacent columns.</t>
  </si>
  <si>
    <t>&lt;Bulk Group COC Calculator&gt;</t>
  </si>
  <si>
    <t>The purpose of the Bulk Calculator is to provide a basis for allowing CBs to calculate new invoices for each of their group certifications.</t>
  </si>
  <si>
    <t>As with the COC Group Calculator, first determine the aggregate Forest Products Turnover for all site(s) involved in each certification.</t>
  </si>
  <si>
    <t xml:space="preserve">Instead of manually re-entering each CH's turnover in the COC Group Calculator, this Bulk Calculator is a starting point, which can be adapted by the CBs. </t>
  </si>
  <si>
    <t>Enter the ID, number of members and relevant aggregate Forest Products Turnover figures in the columns highlighted in yellow.</t>
  </si>
  <si>
    <t>The new AAF Class(es) and AAF Due will be automatically calculated and displayed in the adjacent columns.</t>
  </si>
  <si>
    <t>FM Base Fee</t>
  </si>
  <si>
    <t>Parameter</t>
  </si>
  <si>
    <t>Current Value</t>
  </si>
  <si>
    <t>Inflation Rate</t>
  </si>
  <si>
    <t>New Value</t>
  </si>
  <si>
    <t>Primary Parameters</t>
  </si>
  <si>
    <t>Inflate (Y/N)</t>
  </si>
  <si>
    <t>Y</t>
  </si>
  <si>
    <t>Derived Parameters</t>
  </si>
  <si>
    <t>CoC Min Fee</t>
  </si>
  <si>
    <t>CoC Group Membership</t>
  </si>
  <si>
    <t>Processor to Trader Conversion</t>
  </si>
  <si>
    <t>Inflated</t>
  </si>
  <si>
    <t>Processor Variable Fee Class 1</t>
  </si>
  <si>
    <t>Processor Variable Fee Class 2</t>
  </si>
  <si>
    <t>Processor Variable Fee Class 3</t>
  </si>
  <si>
    <t>Processor Variable Fee Class 4</t>
  </si>
  <si>
    <t>Processor Variable Fee Class 5</t>
  </si>
  <si>
    <t>Processor Variable Fee Class 6</t>
  </si>
  <si>
    <t>Processor Variable Fee Class 7</t>
  </si>
  <si>
    <t>Processor Base Fee Class 1</t>
  </si>
  <si>
    <t>Processor Base Fee Class 2</t>
  </si>
  <si>
    <t>Processor Base Fee Class 3</t>
  </si>
  <si>
    <t>Processor Base Fee Class 4</t>
  </si>
  <si>
    <t>Processor Base Fee Class 5</t>
  </si>
  <si>
    <t>Processor Base Fee Class 6</t>
  </si>
  <si>
    <t>Processor Base Fee Class 7</t>
  </si>
  <si>
    <t>Trader Variable Fee Class 1</t>
  </si>
  <si>
    <t>Trader Variable Fee Class 2</t>
  </si>
  <si>
    <t>Trader Variable Fee Class 3</t>
  </si>
  <si>
    <t>Trader Variable Fee Class 4</t>
  </si>
  <si>
    <t>Trader Variable Fee Class 5</t>
  </si>
  <si>
    <t>Trader Variable Fee Class 6</t>
  </si>
  <si>
    <t>Trader Variable Fee Class 7</t>
  </si>
  <si>
    <t>Trader Base Fee Class 1</t>
  </si>
  <si>
    <t>Trader Base Fee Class 2</t>
  </si>
  <si>
    <t>Trader Base Fee Class 3</t>
  </si>
  <si>
    <t>Trader Base Fee Class 4</t>
  </si>
  <si>
    <t>Trader Base Fee Class 5</t>
  </si>
  <si>
    <t>Trader Base Fee Class 6</t>
  </si>
  <si>
    <t>Trader Base Fee Class 7</t>
  </si>
  <si>
    <t>Applicable To FPT above</t>
  </si>
  <si>
    <t>This tool will also work for Project Certification: simply enter the total Project Cost in the cell for Forest Products Turnover, and selecting trader as the COC Type.</t>
  </si>
  <si>
    <t>Min. COC Fee Applicable</t>
  </si>
  <si>
    <t>Processor Default Fee Class 1</t>
  </si>
  <si>
    <t>Processor Default Fee Class 2</t>
  </si>
  <si>
    <t>Processor Default Fee Class 3</t>
  </si>
  <si>
    <t>Processor Default Fee Class 4</t>
  </si>
  <si>
    <t>Processor Default Fee Class 5</t>
  </si>
  <si>
    <t>Processor Default Fee Class 6</t>
  </si>
  <si>
    <t>Processor Default Fee Class 7</t>
  </si>
  <si>
    <t>Trader Default Fee Class 1</t>
  </si>
  <si>
    <t>Trader Default Fee Class 2</t>
  </si>
  <si>
    <t>Trader Default Fee Class 3</t>
  </si>
  <si>
    <t>Trader Default Fee Class 4</t>
  </si>
  <si>
    <t>Trader Default Fee Class 5</t>
  </si>
  <si>
    <t>Trader Default Fee Class 6</t>
  </si>
  <si>
    <t>Trader Default Fee Class 7</t>
  </si>
  <si>
    <t>This demonstration contains 99 rows: drag down formulae to create as many extra rows as needed.</t>
  </si>
  <si>
    <t>This calculator does not compute the AAF due under the Default pathway where no data on Forest Products Turnover or organisation Revenue is available.</t>
  </si>
  <si>
    <t>None</t>
  </si>
  <si>
    <t>This is not a full AAF calculator but 'only' a calculator for the COC costs of single and multi-site certifications.</t>
  </si>
  <si>
    <t>Determine the aggregate Forest Products Turnover for all COC site(s) involved in the certification, substituting organisation Revenue where the breakdown to Forest Products Turnover is not available.</t>
  </si>
  <si>
    <t>For the FSC-POL-20-005 V3-4 EN (effective from 1 Jan 2024).</t>
  </si>
  <si>
    <t>The AAF is to be calculated using the AAF Policy V3-4. This calculator is offered by FSC to support the calculation of an estimate of the AAF only for 1 January 2024 onwards.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</si>
</sst>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_-* #,##0.00_-;\-* #,##0.00_-;_-* &quot;-&quot;??_-;_-@_-"/>
    <numFmt numFmtId="178" formatCode="[$$-409]#,##0.0000"/>
    <numFmt numFmtId="180" formatCode="_(* #,##0_);_(* \(#,##0\);_(* &quot;-&quot;??_);_(@_)"/>
    <numFmt numFmtId="181" formatCode="#,##0_ ;\-#,##0\ "/>
  </numFmts>
  <fonts count="19" x14ac:knownFonts="1">
    <font>
      <sz val="10"/>
      <name val="Arial"/>
      <family val="2"/>
    </font>
    <font>
      <b/>
      <sz val="10"/>
      <color theme="0"/>
      <name val="Arial"/>
      <family val="2"/>
    </font>
    <font>
      <sz val="10"/>
      <color theme="9" tint="-0.499984740745262"/>
      <name val="Arial"/>
      <family val="2"/>
    </font>
    <font>
      <i/>
      <sz val="8"/>
      <color theme="0" tint="-0.14999847407452621"/>
      <name val="Arial"/>
      <family val="2"/>
    </font>
    <font>
      <i/>
      <sz val="8"/>
      <color theme="0"/>
      <name val="Arial"/>
      <family val="2"/>
    </font>
    <font>
      <b/>
      <sz val="10"/>
      <color theme="9" tint="-0.499984740745262"/>
      <name val="Arial"/>
      <family val="2"/>
    </font>
    <font>
      <sz val="8"/>
      <name val="Arial"/>
      <family val="2"/>
    </font>
    <font>
      <b/>
      <i/>
      <sz val="8"/>
      <color theme="0"/>
      <name val="Arial"/>
      <family val="2"/>
    </font>
    <font>
      <sz val="8"/>
      <color theme="0"/>
      <name val="Arial"/>
      <family val="2"/>
    </font>
    <font>
      <sz val="10"/>
      <name val="Arial"/>
      <family val="2"/>
    </font>
    <font>
      <b/>
      <u/>
      <sz val="12"/>
      <color rgb="FFFF0000"/>
      <name val="Arial"/>
      <family val="2"/>
    </font>
    <font>
      <sz val="12"/>
      <color rgb="FFFF0000"/>
      <name val="Arial"/>
      <family val="2"/>
    </font>
    <font>
      <sz val="11"/>
      <color rgb="FFFF0000"/>
      <name val="Segoe UI"/>
      <family val="2"/>
    </font>
    <font>
      <b/>
      <u/>
      <sz val="10"/>
      <name val="Arial"/>
      <family val="2"/>
    </font>
    <font>
      <b/>
      <sz val="10"/>
      <name val="Arial"/>
      <family val="2"/>
    </font>
    <font>
      <i/>
      <sz val="10"/>
      <name val="Arial"/>
      <family val="2"/>
    </font>
    <font>
      <b/>
      <i/>
      <u/>
      <sz val="10"/>
      <name val="Arial"/>
      <family val="2"/>
    </font>
    <font>
      <b/>
      <sz val="10"/>
      <color rgb="FFFF0000"/>
      <name val="Arial"/>
      <family val="2"/>
    </font>
    <font>
      <sz val="9"/>
      <name val="宋体"/>
      <family val="3"/>
      <charset val="134"/>
    </font>
  </fonts>
  <fills count="7">
    <fill>
      <patternFill patternType="none"/>
    </fill>
    <fill>
      <patternFill patternType="gray125"/>
    </fill>
    <fill>
      <patternFill patternType="solid">
        <fgColor theme="9"/>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FFFFCC"/>
        <bgColor indexed="64"/>
      </patternFill>
    </fill>
    <fill>
      <patternFill patternType="solid">
        <fgColor rgb="FF7030A0"/>
        <bgColor indexed="64"/>
      </patternFill>
    </fill>
  </fills>
  <borders count="4">
    <border>
      <left/>
      <right/>
      <top/>
      <bottom/>
      <diagonal/>
    </border>
    <border>
      <left style="medium">
        <color theme="9" tint="-0.499984740745262"/>
      </left>
      <right/>
      <top style="medium">
        <color theme="9" tint="-0.499984740745262"/>
      </top>
      <bottom style="medium">
        <color theme="9" tint="-0.499984740745262"/>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s>
  <cellStyleXfs count="2">
    <xf numFmtId="0" fontId="0" fillId="0" borderId="0"/>
    <xf numFmtId="176" fontId="9" fillId="0" borderId="0" applyFont="0" applyFill="0" applyBorder="0" applyAlignment="0" applyProtection="0"/>
  </cellStyleXfs>
  <cellXfs count="51">
    <xf numFmtId="0" fontId="0" fillId="0" borderId="0" xfId="0"/>
    <xf numFmtId="0" fontId="1" fillId="2" borderId="0" xfId="0" applyFont="1" applyFill="1" applyAlignment="1">
      <alignment vertical="center"/>
    </xf>
    <xf numFmtId="0" fontId="0" fillId="0" borderId="0" xfId="0" applyAlignment="1">
      <alignment vertical="center"/>
    </xf>
    <xf numFmtId="0" fontId="0" fillId="3" borderId="0" xfId="0" applyFill="1" applyAlignment="1">
      <alignment vertical="center"/>
    </xf>
    <xf numFmtId="0" fontId="1" fillId="2" borderId="1" xfId="0" applyFont="1" applyFill="1" applyBorder="1" applyAlignment="1">
      <alignment vertical="center"/>
    </xf>
    <xf numFmtId="0" fontId="3" fillId="3" borderId="0" xfId="0" applyFont="1" applyFill="1" applyAlignment="1">
      <alignment vertical="center"/>
    </xf>
    <xf numFmtId="0" fontId="4" fillId="2" borderId="0" xfId="0" applyFont="1" applyFill="1" applyAlignment="1">
      <alignment vertical="center"/>
    </xf>
    <xf numFmtId="0" fontId="1" fillId="4" borderId="0" xfId="0" applyFont="1" applyFill="1" applyAlignment="1">
      <alignment vertical="center"/>
    </xf>
    <xf numFmtId="0" fontId="6" fillId="0" borderId="0" xfId="0" applyFont="1" applyAlignment="1">
      <alignment vertical="center"/>
    </xf>
    <xf numFmtId="0" fontId="3" fillId="0" borderId="0" xfId="0" applyFont="1" applyAlignment="1">
      <alignment vertical="center"/>
    </xf>
    <xf numFmtId="0" fontId="7" fillId="4" borderId="0" xfId="0" applyFont="1" applyFill="1" applyAlignment="1">
      <alignment vertical="center"/>
    </xf>
    <xf numFmtId="0" fontId="8" fillId="4" borderId="0" xfId="0" applyFont="1" applyFill="1" applyAlignment="1">
      <alignment vertical="center"/>
    </xf>
    <xf numFmtId="0" fontId="6" fillId="0" borderId="0" xfId="0" applyFont="1" applyAlignment="1">
      <alignment horizontal="center" vertical="center"/>
    </xf>
    <xf numFmtId="178" fontId="6" fillId="0" borderId="0" xfId="0" applyNumberFormat="1" applyFont="1" applyAlignment="1">
      <alignment vertical="center"/>
    </xf>
    <xf numFmtId="0" fontId="0" fillId="0" borderId="0" xfId="0" applyAlignment="1">
      <alignment horizontal="left"/>
    </xf>
    <xf numFmtId="0" fontId="0" fillId="0" borderId="0" xfId="0" applyAlignment="1">
      <alignment horizontal="center"/>
    </xf>
    <xf numFmtId="0" fontId="0" fillId="0" borderId="0" xfId="0" applyAlignment="1">
      <alignment horizontal="left" vertical="center"/>
    </xf>
    <xf numFmtId="0" fontId="10"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0" fillId="0" borderId="0" xfId="0" quotePrefix="1" applyAlignment="1">
      <alignment vertical="center"/>
    </xf>
    <xf numFmtId="0" fontId="15" fillId="0" borderId="0" xfId="0" applyFont="1" applyAlignment="1">
      <alignment horizontal="left" vertical="center" wrapText="1"/>
    </xf>
    <xf numFmtId="0" fontId="0" fillId="0" borderId="0" xfId="0" applyAlignment="1">
      <alignment horizontal="left" vertical="center" wrapText="1"/>
    </xf>
    <xf numFmtId="0" fontId="15" fillId="0" borderId="0" xfId="0" quotePrefix="1" applyFont="1" applyAlignment="1">
      <alignment horizontal="left" vertical="center"/>
    </xf>
    <xf numFmtId="0" fontId="2" fillId="5" borderId="2" xfId="0" applyFont="1" applyFill="1" applyBorder="1" applyAlignment="1" applyProtection="1">
      <alignment horizontal="center" vertical="center"/>
      <protection locked="0"/>
    </xf>
    <xf numFmtId="0" fontId="1" fillId="2" borderId="1" xfId="0" applyFont="1" applyFill="1" applyBorder="1" applyAlignment="1">
      <alignment vertical="center" wrapText="1"/>
    </xf>
    <xf numFmtId="180" fontId="2" fillId="5" borderId="2" xfId="1" applyNumberFormat="1" applyFont="1" applyFill="1" applyBorder="1" applyAlignment="1" applyProtection="1">
      <alignment vertical="center"/>
      <protection locked="0"/>
    </xf>
    <xf numFmtId="180" fontId="5" fillId="0" borderId="3" xfId="1" applyNumberFormat="1" applyFont="1" applyBorder="1" applyAlignment="1" applyProtection="1">
      <alignment vertical="center"/>
    </xf>
    <xf numFmtId="3" fontId="6" fillId="0" borderId="0" xfId="0" applyNumberFormat="1" applyFont="1" applyAlignment="1">
      <alignment vertical="center"/>
    </xf>
    <xf numFmtId="4" fontId="6" fillId="0" borderId="0" xfId="0" applyNumberFormat="1" applyFont="1" applyAlignment="1">
      <alignment vertical="center"/>
    </xf>
    <xf numFmtId="49" fontId="0" fillId="0" borderId="0" xfId="0" applyNumberFormat="1" applyAlignment="1">
      <alignment vertical="center"/>
    </xf>
    <xf numFmtId="49" fontId="0" fillId="0" borderId="0" xfId="0" quotePrefix="1" applyNumberFormat="1" applyAlignment="1">
      <alignment vertical="center"/>
    </xf>
    <xf numFmtId="49" fontId="15" fillId="0" borderId="0" xfId="0" applyNumberFormat="1" applyFont="1" applyAlignment="1">
      <alignment horizontal="left" vertical="center" wrapText="1"/>
    </xf>
    <xf numFmtId="49" fontId="14" fillId="0" borderId="0" xfId="0" quotePrefix="1" applyNumberFormat="1" applyFont="1" applyAlignment="1">
      <alignment horizontal="left" vertical="center"/>
    </xf>
    <xf numFmtId="49" fontId="0" fillId="0" borderId="0" xfId="0" applyNumberFormat="1" applyAlignment="1">
      <alignment horizontal="left" vertical="center"/>
    </xf>
    <xf numFmtId="49" fontId="0" fillId="0" borderId="0" xfId="0" applyNumberFormat="1"/>
    <xf numFmtId="49" fontId="14" fillId="0" borderId="0" xfId="0" applyNumberFormat="1" applyFont="1" applyAlignment="1">
      <alignment horizontal="left" vertical="center"/>
    </xf>
    <xf numFmtId="0" fontId="14" fillId="0" borderId="0" xfId="0" applyFont="1"/>
    <xf numFmtId="0" fontId="1" fillId="6" borderId="0" xfId="0" applyFont="1" applyFill="1"/>
    <xf numFmtId="10" fontId="1" fillId="6" borderId="0" xfId="0" applyNumberFormat="1" applyFont="1" applyFill="1"/>
    <xf numFmtId="2" fontId="0" fillId="0" borderId="0" xfId="0" applyNumberFormat="1"/>
    <xf numFmtId="2" fontId="0" fillId="0" borderId="0" xfId="0" applyNumberFormat="1" applyAlignment="1">
      <alignment horizontal="center"/>
    </xf>
    <xf numFmtId="9" fontId="14" fillId="0" borderId="0" xfId="0" applyNumberFormat="1" applyFont="1"/>
    <xf numFmtId="181" fontId="0" fillId="0" borderId="0" xfId="1" applyNumberFormat="1" applyFont="1"/>
    <xf numFmtId="4" fontId="0" fillId="0" borderId="0" xfId="0" applyNumberFormat="1"/>
    <xf numFmtId="0" fontId="16" fillId="0" borderId="0" xfId="0" applyFont="1"/>
    <xf numFmtId="0" fontId="11" fillId="0" borderId="0" xfId="0" applyFont="1" applyAlignment="1">
      <alignment horizontal="left" vertical="center" wrapText="1"/>
    </xf>
    <xf numFmtId="0" fontId="12" fillId="0" borderId="0" xfId="0" applyFont="1" applyAlignment="1">
      <alignment horizontal="left" vertical="center" wrapText="1"/>
    </xf>
    <xf numFmtId="49" fontId="17" fillId="0" borderId="0" xfId="0" applyNumberFormat="1" applyFont="1" applyAlignment="1">
      <alignment horizontal="left" vertical="center"/>
    </xf>
    <xf numFmtId="3" fontId="5" fillId="0" borderId="3" xfId="1" applyNumberFormat="1" applyFont="1" applyBorder="1" applyAlignment="1" applyProtection="1">
      <alignment horizontal="center" vertical="center"/>
    </xf>
  </cellXfs>
  <cellStyles count="2">
    <cellStyle name="常规" xfId="0" builtinId="0"/>
    <cellStyle name="千位分隔" xfId="1" builtinId="3"/>
  </cellStyles>
  <dxfs count="18">
    <dxf>
      <font>
        <color theme="0" tint="-0.14996795556505021"/>
      </font>
      <fill>
        <patternFill>
          <bgColor theme="0" tint="-0.14996795556505021"/>
        </patternFill>
      </fill>
    </dxf>
    <dxf>
      <numFmt numFmtId="4" formatCode="#,##0.00"/>
    </dxf>
    <dxf>
      <numFmt numFmtId="2" formatCode="0.00"/>
      <alignment horizontal="center" vertical="bottom" textRotation="0" wrapText="0" indent="0" justifyLastLine="0" shrinkToFit="0" readingOrder="0"/>
    </dxf>
    <dxf>
      <numFmt numFmtId="4" formatCode="#,##0.00"/>
    </dxf>
    <dxf>
      <numFmt numFmtId="2" formatCode="0.00"/>
    </dxf>
    <dxf>
      <alignment horizontal="center" vertical="bottom" textRotation="0" wrapText="0" indent="0" justifyLastLine="0" shrinkToFit="0" readingOrder="0"/>
    </dxf>
    <dxf>
      <font>
        <strike val="0"/>
        <outline val="0"/>
        <shadow val="0"/>
        <u val="none"/>
        <vertAlign val="baseline"/>
        <sz val="8"/>
        <name val="Arial"/>
        <family val="2"/>
        <scheme val="none"/>
      </font>
      <numFmt numFmtId="3" formatCode="#,##0"/>
      <alignment horizontal="general" vertical="center" textRotation="0" wrapText="0" indent="0" justifyLastLine="0" shrinkToFit="0" readingOrder="0"/>
      <protection locked="1" hidden="0"/>
    </dxf>
    <dxf>
      <font>
        <strike val="0"/>
        <outline val="0"/>
        <shadow val="0"/>
        <u val="none"/>
        <vertAlign val="baseline"/>
        <sz val="8"/>
        <name val="Arial"/>
        <family val="2"/>
        <scheme val="none"/>
      </font>
      <numFmt numFmtId="3" formatCode="#,##0"/>
      <alignment horizontal="general" vertical="center" textRotation="0" wrapText="0" indent="0" justifyLastLine="0" shrinkToFit="0" readingOrder="0"/>
      <protection locked="1" hidden="0"/>
    </dxf>
    <dxf>
      <font>
        <strike val="0"/>
        <outline val="0"/>
        <shadow val="0"/>
        <u val="none"/>
        <vertAlign val="baseline"/>
        <sz val="8"/>
        <name val="Arial"/>
        <family val="2"/>
        <scheme val="none"/>
      </font>
      <numFmt numFmtId="0" formatCode="General"/>
      <alignment horizontal="center" vertical="center" textRotation="0" wrapText="0" indent="0" justifyLastLine="0" shrinkToFit="0" readingOrder="0"/>
      <protection locked="1" hidden="0"/>
    </dxf>
    <dxf>
      <font>
        <strike val="0"/>
        <outline val="0"/>
        <shadow val="0"/>
        <u val="none"/>
        <vertAlign val="baseline"/>
        <sz val="8"/>
        <name val="Arial"/>
        <family val="2"/>
        <scheme val="none"/>
      </font>
      <numFmt numFmtId="3" formatCode="#,##0"/>
      <alignment horizontal="general" vertical="center" textRotation="0" wrapText="0" indent="0" justifyLastLine="0" shrinkToFit="0" readingOrder="0"/>
      <protection locked="1" hidden="0"/>
    </dxf>
    <dxf>
      <font>
        <strike val="0"/>
        <outline val="0"/>
        <shadow val="0"/>
        <u val="none"/>
        <vertAlign val="baseline"/>
        <sz val="8"/>
        <name val="Arial"/>
        <family val="2"/>
        <scheme val="none"/>
      </font>
      <alignment horizontal="general" vertical="center" textRotation="0" wrapText="0" indent="0" justifyLastLine="0" shrinkToFit="0" readingOrder="0"/>
      <protection locked="1" hidden="0"/>
    </dxf>
    <dxf>
      <font>
        <strike val="0"/>
        <outline val="0"/>
        <shadow val="0"/>
        <u val="none"/>
        <vertAlign val="baseline"/>
        <sz val="8"/>
        <name val="Arial"/>
        <family val="2"/>
        <scheme val="none"/>
      </font>
      <alignment horizontal="center" vertical="center" textRotation="0" wrapText="0" indent="0" justifyLastLine="0" shrinkToFit="0" readingOrder="0"/>
      <protection locked="1" hidden="0"/>
    </dxf>
    <dxf>
      <font>
        <strike val="0"/>
        <outline val="0"/>
        <shadow val="0"/>
        <u val="none"/>
        <vertAlign val="baseline"/>
        <sz val="8"/>
        <name val="Arial"/>
        <family val="2"/>
        <scheme val="none"/>
      </font>
      <numFmt numFmtId="4" formatCode="#,##0.00"/>
      <alignment horizontal="general" vertical="center" textRotation="0" wrapText="0" indent="0" justifyLastLine="0" shrinkToFit="0" readingOrder="0"/>
      <protection locked="1" hidden="0"/>
    </dxf>
    <dxf>
      <font>
        <strike val="0"/>
        <outline val="0"/>
        <shadow val="0"/>
        <u val="none"/>
        <vertAlign val="baseline"/>
        <sz val="8"/>
        <name val="Arial"/>
        <family val="2"/>
        <scheme val="none"/>
      </font>
      <numFmt numFmtId="4" formatCode="#,##0.00"/>
      <alignment horizontal="general" vertical="center" textRotation="0" wrapText="0" indent="0" justifyLastLine="0" shrinkToFit="0" readingOrder="0"/>
      <protection locked="1" hidden="0"/>
    </dxf>
    <dxf>
      <font>
        <strike val="0"/>
        <outline val="0"/>
        <shadow val="0"/>
        <u val="none"/>
        <vertAlign val="baseline"/>
        <sz val="8"/>
        <name val="Arial"/>
        <family val="2"/>
        <scheme val="none"/>
      </font>
      <numFmt numFmtId="0" formatCode="General"/>
      <alignment horizontal="center" vertical="center" textRotation="0" wrapText="0" indent="0" justifyLastLine="0" shrinkToFit="0" readingOrder="0"/>
      <protection locked="1" hidden="0"/>
    </dxf>
    <dxf>
      <font>
        <strike val="0"/>
        <outline val="0"/>
        <shadow val="0"/>
        <u val="none"/>
        <vertAlign val="baseline"/>
        <sz val="8"/>
        <name val="Arial"/>
        <family val="2"/>
        <scheme val="none"/>
      </font>
      <numFmt numFmtId="3" formatCode="#,##0"/>
      <alignment horizontal="general" vertical="center" textRotation="0" wrapText="0" indent="0" justifyLastLine="0" shrinkToFit="0" readingOrder="0"/>
      <protection locked="1" hidden="0"/>
    </dxf>
    <dxf>
      <font>
        <strike val="0"/>
        <outline val="0"/>
        <shadow val="0"/>
        <u val="none"/>
        <vertAlign val="baseline"/>
        <sz val="8"/>
        <name val="Arial"/>
        <family val="2"/>
        <scheme val="none"/>
      </font>
      <alignment horizontal="general" vertical="center" textRotation="0" wrapText="0" indent="0" justifyLastLine="0" shrinkToFit="0" readingOrder="0"/>
      <protection locked="1" hidden="0"/>
    </dxf>
    <dxf>
      <font>
        <strike val="0"/>
        <outline val="0"/>
        <shadow val="0"/>
        <u val="none"/>
        <vertAlign val="baseline"/>
        <sz val="8"/>
        <name val="Arial"/>
        <family val="2"/>
        <scheme val="none"/>
      </font>
      <alignment horizontal="center" vertical="center" textRotation="0" wrapText="0" indent="0" justifyLastLine="0" shrinkToFit="0" readingOrder="0"/>
      <protection locked="1" hidden="0"/>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7F8DA34-2391-4FB2-A5A1-7A9100553E23}" name="Variable_Costs" displayName="Variable_Costs" ref="B31:E38" totalsRowShown="0" headerRowDxfId="17" dataDxfId="16">
  <tableColumns count="4">
    <tableColumn id="1" xr3:uid="{63C10906-3142-4815-AE4D-21016C5D4511}" name="Turnover (Min) (USD)" dataDxfId="15">
      <calculatedColumnFormula>B18</calculatedColumnFormula>
    </tableColumn>
    <tableColumn id="2" xr3:uid="{703EAC13-BDA1-4C5B-8FB7-3AEDDD006754}" name="AAF Class" dataDxfId="14">
      <calculatedColumnFormula>C18</calculatedColumnFormula>
    </tableColumn>
    <tableColumn id="3" xr3:uid="{4AFB298D-3A06-48E9-B0D2-F8D4FFBE0E03}" name="Processor (USD)" dataDxfId="13">
      <calculatedColumnFormula>Inflation!E6</calculatedColumnFormula>
    </tableColumn>
    <tableColumn id="5" xr3:uid="{5F9C2F5C-33FF-4959-8DE6-0A9CCAC6A148}" name="Trader (USD)" dataDxfId="12">
      <calculatedColumnFormula>Inflation!E31</calculatedColumnFormula>
    </tableColumn>
  </tableColumns>
  <tableStyleInfo name="TableStyleMedium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35FC9D-DC18-401B-8912-971AC4E07429}" name="Base_Costs" displayName="Base_Costs" ref="B17:E24" totalsRowShown="0" headerRowDxfId="11" dataDxfId="10">
  <tableColumns count="4">
    <tableColumn id="1" xr3:uid="{042EF67A-898B-4AA2-AF18-9F669A9775DB}" name="Turnover (Min) (USD)" dataDxfId="9"/>
    <tableColumn id="2" xr3:uid="{ABE4CB46-3069-4516-8383-BC40E8DD504E}" name="AAF Class" dataDxfId="8"/>
    <tableColumn id="3" xr3:uid="{D8BA611B-BBD0-42DB-8B32-8BA247F43FDA}" name="Processor (USD)" dataDxfId="7">
      <calculatedColumnFormula>Inflation!E24</calculatedColumnFormula>
    </tableColumn>
    <tableColumn id="5" xr3:uid="{5C597165-CEFC-42EA-93E6-9263C270DB88}" name="Trader (USD)" dataDxfId="6">
      <calculatedColumnFormula>Inflation!E38</calculatedColumnFormula>
    </tableColumn>
  </tableColumns>
  <tableStyleInfo name="TableStyleMedium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90A80CE-16B7-4AB1-A666-E85AEC6319EF}" name="Inflation_Primary_Parameters" displayName="Inflation_Primary_Parameters" ref="A5:E17" totalsRowShown="0">
  <autoFilter ref="A5:E17" xr:uid="{090A80CE-16B7-4AB1-A666-E85AEC6319EF}"/>
  <tableColumns count="5">
    <tableColumn id="1" xr3:uid="{A6BFC6F2-D50B-4E8D-9C15-EC68F535CCC3}" name="Parameter"/>
    <tableColumn id="2" xr3:uid="{2FC0E4D9-C677-4C9C-8058-FC946DE8BFDA}" name="Applicable To FPT above"/>
    <tableColumn id="3" xr3:uid="{739EAFF0-EE6A-4101-92E3-B0B87D14C324}" name="Current Value"/>
    <tableColumn id="4" xr3:uid="{FECDE0CC-0E31-4F5F-AF6A-8EFE6D9FDDDF}" name="Inflate (Y/N)" dataDxfId="5"/>
    <tableColumn id="5" xr3:uid="{0C0FDCA9-5D71-47AB-8FA0-0DE1FCAE059C}" name="New Value" dataDxfId="4">
      <calculatedColumnFormula>ROUND(Inflation_Primary_Parameters[[#This Row],[Current Value]] * IF(Inflation_Primary_Parameters[[#This Row],[Inflate (Y/N)]] = "Y", 1+ Inflation_Rate, 1), 2)</calculatedColumnFormula>
    </tableColumn>
  </tableColumns>
  <tableStyleInfo name="TableStyleMedium2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9514045-F429-4D37-BD98-ABE35268599F}" name="Inflation_Derived_Parameters" displayName="Inflation_Derived_Parameters" ref="A23:E58" totalsRowShown="0">
  <autoFilter ref="A23:E58" xr:uid="{49514045-F429-4D37-BD98-ABE35268599F}"/>
  <tableColumns count="5">
    <tableColumn id="1" xr3:uid="{9DC457B1-A5E6-4644-BAA5-B367A3745148}" name="Parameter"/>
    <tableColumn id="2" xr3:uid="{90B24CC3-FEDE-468D-9D49-B8006FA4C4F2}" name="Applicable To FPT above"/>
    <tableColumn id="3" xr3:uid="{F48C7DCA-3C12-485A-924B-527CD5AB7610}" name="Current Value" dataDxfId="3"/>
    <tableColumn id="4" xr3:uid="{5AB03C98-C276-4535-9201-4B4ECD1A1A1B}" name="Inflated" dataDxfId="2">
      <calculatedColumnFormula>IF(Inflation_Derived_Parameters[[#This Row],[New Value]] &gt; Inflation_Derived_Parameters[[#This Row],[Current Value]], "Y", "N")</calculatedColumnFormula>
    </tableColumn>
    <tableColumn id="5" xr3:uid="{7BE3C004-4FE3-4547-8566-D2C5E46FEA25}" name="New Value" dataDxfId="1"/>
  </tableColumns>
  <tableStyleInfo name="TableStyleMedium20"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17478-43C0-45DD-92D9-1564A09651F6}">
  <sheetPr>
    <tabColor rgb="FFFF0000"/>
  </sheetPr>
  <dimension ref="B2:B8"/>
  <sheetViews>
    <sheetView workbookViewId="0">
      <selection activeCell="B11" sqref="B11"/>
    </sheetView>
  </sheetViews>
  <sheetFormatPr defaultRowHeight="13.2" x14ac:dyDescent="0.25"/>
  <cols>
    <col min="2" max="2" width="81.6640625" customWidth="1"/>
  </cols>
  <sheetData>
    <row r="2" spans="2:2" ht="15.6" x14ac:dyDescent="0.25">
      <c r="B2" s="17" t="s">
        <v>9</v>
      </c>
    </row>
    <row r="3" spans="2:2" ht="16.8" x14ac:dyDescent="0.25">
      <c r="B3" s="18"/>
    </row>
    <row r="4" spans="2:2" ht="45" x14ac:dyDescent="0.25">
      <c r="B4" s="47" t="s">
        <v>121</v>
      </c>
    </row>
    <row r="5" spans="2:2" ht="16.8" x14ac:dyDescent="0.25">
      <c r="B5" s="48"/>
    </row>
    <row r="6" spans="2:2" ht="105" x14ac:dyDescent="0.25">
      <c r="B6" s="47" t="s">
        <v>10</v>
      </c>
    </row>
    <row r="7" spans="2:2" ht="16.8" x14ac:dyDescent="0.25">
      <c r="B7" s="48"/>
    </row>
    <row r="8" spans="2:2" ht="45" x14ac:dyDescent="0.25">
      <c r="B8" s="47" t="s">
        <v>11</v>
      </c>
    </row>
  </sheetData>
  <phoneticPr fontId="18" type="noConversion"/>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A6716-577D-4953-886E-27BC7B4DE732}">
  <sheetPr>
    <tabColor rgb="FFFFC000"/>
  </sheetPr>
  <dimension ref="A1:O57"/>
  <sheetViews>
    <sheetView workbookViewId="0">
      <selection activeCell="E39" sqref="E39"/>
    </sheetView>
  </sheetViews>
  <sheetFormatPr defaultRowHeight="13.2" x14ac:dyDescent="0.25"/>
  <cols>
    <col min="1" max="1" width="17.44140625" bestFit="1" customWidth="1"/>
    <col min="2" max="2" width="9" style="36"/>
  </cols>
  <sheetData>
    <row r="1" spans="1:15" x14ac:dyDescent="0.25">
      <c r="A1" s="19" t="s">
        <v>12</v>
      </c>
      <c r="B1" s="31"/>
      <c r="C1" s="2"/>
      <c r="D1" s="2"/>
      <c r="E1" s="2"/>
      <c r="F1" s="2"/>
      <c r="G1" s="2"/>
      <c r="H1" s="2"/>
      <c r="I1" s="2"/>
      <c r="J1" s="2"/>
      <c r="K1" s="2"/>
      <c r="L1" s="2"/>
      <c r="M1" s="2"/>
      <c r="N1" s="2"/>
      <c r="O1" s="2"/>
    </row>
    <row r="2" spans="1:15" x14ac:dyDescent="0.25">
      <c r="A2" s="2"/>
      <c r="B2" s="31"/>
      <c r="C2" s="2"/>
      <c r="D2" s="2"/>
      <c r="E2" s="2"/>
      <c r="F2" s="2"/>
      <c r="G2" s="2"/>
      <c r="H2" s="2"/>
      <c r="I2" s="2"/>
      <c r="J2" s="2"/>
      <c r="K2" s="2"/>
      <c r="L2" s="2"/>
      <c r="M2" s="2"/>
      <c r="N2" s="2"/>
      <c r="O2" s="2"/>
    </row>
    <row r="3" spans="1:15" x14ac:dyDescent="0.25">
      <c r="A3" s="19" t="s">
        <v>13</v>
      </c>
      <c r="B3" s="31"/>
      <c r="C3" s="2"/>
      <c r="D3" s="2"/>
      <c r="E3" s="2"/>
      <c r="F3" s="2"/>
      <c r="G3" s="2"/>
      <c r="H3" s="2"/>
      <c r="I3" s="2"/>
      <c r="J3" s="2"/>
      <c r="K3" s="2"/>
      <c r="L3" s="2"/>
      <c r="M3" s="2"/>
      <c r="N3" s="2"/>
      <c r="O3" s="2"/>
    </row>
    <row r="4" spans="1:15" x14ac:dyDescent="0.25">
      <c r="A4" s="19"/>
      <c r="B4" s="31"/>
      <c r="C4" s="2"/>
      <c r="D4" s="2"/>
      <c r="E4" s="2"/>
      <c r="F4" s="2"/>
      <c r="G4" s="2"/>
      <c r="H4" s="2"/>
      <c r="I4" s="2"/>
      <c r="J4" s="2"/>
      <c r="K4" s="2"/>
      <c r="L4" s="2"/>
      <c r="M4" s="2"/>
      <c r="N4" s="2"/>
      <c r="O4" s="2"/>
    </row>
    <row r="5" spans="1:15" ht="13.2" customHeight="1" x14ac:dyDescent="0.25">
      <c r="A5" s="20" t="s">
        <v>14</v>
      </c>
      <c r="B5" s="35" t="s">
        <v>15</v>
      </c>
      <c r="C5" s="35"/>
      <c r="D5" s="35"/>
      <c r="E5" s="35"/>
      <c r="F5" s="35"/>
      <c r="G5" s="35"/>
      <c r="H5" s="35"/>
      <c r="I5" s="35"/>
      <c r="J5" s="35"/>
      <c r="K5" s="35"/>
      <c r="L5" s="35"/>
      <c r="M5" s="35"/>
      <c r="N5" s="35"/>
      <c r="O5" s="35"/>
    </row>
    <row r="6" spans="1:15" x14ac:dyDescent="0.25">
      <c r="A6" s="2"/>
      <c r="B6" s="32"/>
      <c r="C6" s="21"/>
      <c r="D6" s="21"/>
      <c r="E6" s="21"/>
      <c r="F6" s="21"/>
      <c r="G6" s="21"/>
      <c r="H6" s="21"/>
      <c r="I6" s="21"/>
      <c r="J6" s="21"/>
      <c r="K6" s="21"/>
      <c r="L6" s="21"/>
      <c r="M6" s="2"/>
      <c r="N6" s="2"/>
      <c r="O6" s="2"/>
    </row>
    <row r="7" spans="1:15" x14ac:dyDescent="0.25">
      <c r="A7" s="20" t="s">
        <v>16</v>
      </c>
      <c r="B7" s="33"/>
      <c r="C7" s="23"/>
      <c r="D7" s="23"/>
      <c r="E7" s="23"/>
      <c r="F7" s="23"/>
      <c r="G7" s="23"/>
      <c r="H7" s="23"/>
      <c r="I7" s="23"/>
      <c r="J7" s="23"/>
      <c r="K7" s="23"/>
      <c r="L7" s="23"/>
      <c r="M7" s="2"/>
      <c r="N7" s="2"/>
      <c r="O7" s="2"/>
    </row>
    <row r="8" spans="1:15" x14ac:dyDescent="0.25">
      <c r="A8" s="20"/>
      <c r="B8" s="33"/>
      <c r="C8" s="23"/>
      <c r="D8" s="23"/>
      <c r="E8" s="23"/>
      <c r="F8" s="23"/>
      <c r="G8" s="23"/>
      <c r="H8" s="23"/>
      <c r="I8" s="23"/>
      <c r="J8" s="23"/>
      <c r="K8" s="23"/>
      <c r="L8" s="23"/>
      <c r="M8" s="2"/>
      <c r="N8" s="2"/>
      <c r="O8" s="2"/>
    </row>
    <row r="9" spans="1:15" x14ac:dyDescent="0.25">
      <c r="A9" s="22" t="s">
        <v>17</v>
      </c>
      <c r="B9" s="35" t="s">
        <v>120</v>
      </c>
      <c r="C9" s="23"/>
      <c r="D9" s="23"/>
      <c r="E9" s="23"/>
      <c r="F9" s="23"/>
      <c r="G9" s="23"/>
      <c r="H9" s="23"/>
      <c r="I9" s="23"/>
      <c r="J9" s="23"/>
      <c r="K9" s="23"/>
      <c r="L9" s="23"/>
      <c r="M9" s="2"/>
      <c r="N9" s="2"/>
      <c r="O9" s="2"/>
    </row>
    <row r="10" spans="1:15" x14ac:dyDescent="0.25">
      <c r="A10" s="2"/>
      <c r="B10" s="35" t="s">
        <v>118</v>
      </c>
      <c r="C10" s="16"/>
      <c r="D10" s="16"/>
      <c r="E10" s="16"/>
      <c r="F10" s="16"/>
      <c r="G10" s="16"/>
      <c r="H10" s="16"/>
      <c r="I10" s="16"/>
      <c r="J10" s="16"/>
      <c r="K10" s="16"/>
      <c r="L10" s="16"/>
      <c r="M10" s="2"/>
      <c r="N10" s="2"/>
      <c r="O10" s="2"/>
    </row>
    <row r="11" spans="1:15" x14ac:dyDescent="0.25">
      <c r="A11" s="2"/>
      <c r="B11" s="35" t="s">
        <v>99</v>
      </c>
      <c r="C11" s="16"/>
      <c r="D11" s="16"/>
      <c r="E11" s="16"/>
      <c r="F11" s="16"/>
      <c r="G11" s="16"/>
      <c r="H11" s="16"/>
      <c r="I11" s="16"/>
      <c r="J11" s="16"/>
      <c r="K11" s="16"/>
      <c r="L11" s="16"/>
      <c r="M11" s="2"/>
      <c r="N11" s="2"/>
      <c r="O11" s="2"/>
    </row>
    <row r="12" spans="1:15" x14ac:dyDescent="0.25">
      <c r="A12" s="2"/>
      <c r="B12" s="35" t="s">
        <v>37</v>
      </c>
      <c r="C12" s="16"/>
      <c r="D12" s="16"/>
      <c r="E12" s="16"/>
      <c r="F12" s="16"/>
      <c r="G12" s="16"/>
      <c r="H12" s="16"/>
      <c r="I12" s="16"/>
      <c r="J12" s="16"/>
      <c r="K12" s="16"/>
      <c r="L12" s="16"/>
      <c r="M12" s="2"/>
      <c r="N12" s="2"/>
      <c r="O12" s="2"/>
    </row>
    <row r="13" spans="1:15" x14ac:dyDescent="0.25">
      <c r="A13" s="2"/>
      <c r="B13" s="37" t="s">
        <v>18</v>
      </c>
      <c r="C13" s="16"/>
      <c r="D13" s="16"/>
      <c r="E13" s="16"/>
      <c r="F13" s="16"/>
      <c r="G13" s="16"/>
      <c r="H13" s="16"/>
      <c r="I13" s="16"/>
      <c r="J13" s="16"/>
      <c r="K13" s="16"/>
      <c r="L13" s="16"/>
      <c r="M13" s="2"/>
      <c r="N13" s="2"/>
      <c r="O13" s="2"/>
    </row>
    <row r="14" spans="1:15" x14ac:dyDescent="0.25">
      <c r="A14" s="2"/>
      <c r="B14" s="49" t="s">
        <v>116</v>
      </c>
      <c r="C14" s="16"/>
      <c r="D14" s="16"/>
      <c r="E14" s="16"/>
      <c r="F14" s="16"/>
      <c r="G14" s="16"/>
      <c r="H14" s="16"/>
      <c r="I14" s="16"/>
      <c r="J14" s="16"/>
      <c r="K14" s="16"/>
      <c r="L14" s="16"/>
      <c r="M14" s="2"/>
      <c r="N14" s="2"/>
      <c r="O14" s="2"/>
    </row>
    <row r="15" spans="1:15" x14ac:dyDescent="0.25">
      <c r="A15" s="2"/>
      <c r="B15" s="34"/>
      <c r="C15" s="16"/>
      <c r="D15" s="16"/>
      <c r="E15" s="16"/>
      <c r="F15" s="16"/>
      <c r="G15" s="16"/>
      <c r="H15" s="16"/>
      <c r="I15" s="16"/>
      <c r="J15" s="16"/>
      <c r="K15" s="16"/>
      <c r="L15" s="16"/>
      <c r="M15" s="2"/>
      <c r="N15" s="2"/>
      <c r="O15" s="2"/>
    </row>
    <row r="16" spans="1:15" x14ac:dyDescent="0.25">
      <c r="A16" s="24" t="s">
        <v>19</v>
      </c>
      <c r="B16" s="31" t="s">
        <v>119</v>
      </c>
      <c r="C16" s="16"/>
      <c r="D16" s="16"/>
      <c r="E16" s="16"/>
      <c r="F16" s="16"/>
      <c r="G16" s="16"/>
      <c r="H16" s="16"/>
      <c r="I16" s="16"/>
      <c r="J16" s="16"/>
      <c r="K16" s="16"/>
      <c r="L16" s="16"/>
      <c r="M16" s="2"/>
      <c r="N16" s="2"/>
      <c r="O16" s="2"/>
    </row>
    <row r="17" spans="1:15" x14ac:dyDescent="0.25">
      <c r="A17" s="24"/>
      <c r="B17" s="31" t="s">
        <v>36</v>
      </c>
      <c r="C17" s="16"/>
      <c r="D17" s="16"/>
      <c r="E17" s="16"/>
      <c r="F17" s="16"/>
      <c r="G17" s="16"/>
      <c r="H17" s="16"/>
      <c r="I17" s="16"/>
      <c r="J17" s="16"/>
      <c r="K17" s="16"/>
      <c r="L17" s="16"/>
      <c r="M17" s="2"/>
      <c r="N17" s="2"/>
      <c r="O17" s="2"/>
    </row>
    <row r="18" spans="1:15" x14ac:dyDescent="0.25">
      <c r="A18" s="2"/>
      <c r="B18" s="35" t="s">
        <v>20</v>
      </c>
      <c r="C18" s="2"/>
      <c r="D18" s="2"/>
      <c r="E18" s="2"/>
      <c r="F18" s="2"/>
      <c r="G18" s="2"/>
      <c r="H18" s="2"/>
      <c r="I18" s="2"/>
      <c r="J18" s="2"/>
      <c r="K18" s="2"/>
      <c r="L18" s="2"/>
      <c r="M18" s="2"/>
      <c r="N18" s="2"/>
      <c r="O18" s="2"/>
    </row>
    <row r="19" spans="1:15" x14ac:dyDescent="0.25">
      <c r="C19" s="16"/>
      <c r="D19" s="16"/>
      <c r="E19" s="16"/>
      <c r="F19" s="16"/>
      <c r="G19" s="16"/>
      <c r="H19" s="16"/>
      <c r="I19" s="16"/>
      <c r="J19" s="16"/>
      <c r="K19" s="16"/>
      <c r="L19" s="16"/>
      <c r="M19" s="2"/>
      <c r="N19" s="2"/>
      <c r="O19" s="2"/>
    </row>
    <row r="20" spans="1:15" x14ac:dyDescent="0.25">
      <c r="A20" s="20" t="s">
        <v>39</v>
      </c>
      <c r="B20" s="33"/>
    </row>
    <row r="21" spans="1:15" x14ac:dyDescent="0.25">
      <c r="A21" s="20"/>
      <c r="B21" s="33"/>
      <c r="C21" s="23"/>
      <c r="D21" s="23"/>
      <c r="E21" s="23"/>
      <c r="F21" s="23"/>
      <c r="G21" s="23"/>
      <c r="H21" s="23"/>
      <c r="I21" s="23"/>
      <c r="J21" s="23"/>
      <c r="K21" s="23"/>
      <c r="L21" s="23"/>
      <c r="M21" s="2"/>
      <c r="N21" s="2"/>
      <c r="O21" s="2"/>
    </row>
    <row r="22" spans="1:15" x14ac:dyDescent="0.25">
      <c r="A22" s="22" t="s">
        <v>17</v>
      </c>
      <c r="B22" s="35" t="s">
        <v>120</v>
      </c>
      <c r="C22" s="23"/>
      <c r="D22" s="23"/>
      <c r="E22" s="23"/>
      <c r="F22" s="23"/>
      <c r="G22" s="23"/>
      <c r="H22" s="23"/>
      <c r="I22" s="23"/>
      <c r="J22" s="23"/>
      <c r="K22" s="23"/>
      <c r="L22" s="23"/>
      <c r="M22" s="2"/>
      <c r="N22" s="2"/>
      <c r="O22" s="2"/>
    </row>
    <row r="23" spans="1:15" x14ac:dyDescent="0.25">
      <c r="A23" s="2"/>
      <c r="B23" s="35" t="s">
        <v>41</v>
      </c>
      <c r="C23" s="23"/>
      <c r="D23" s="23"/>
      <c r="E23" s="23"/>
      <c r="F23" s="23"/>
      <c r="G23" s="23"/>
      <c r="H23" s="23"/>
      <c r="I23" s="23"/>
      <c r="J23" s="23"/>
      <c r="K23" s="23"/>
      <c r="L23" s="23"/>
      <c r="M23" s="2"/>
      <c r="N23" s="2"/>
      <c r="O23" s="2"/>
    </row>
    <row r="24" spans="1:15" x14ac:dyDescent="0.25">
      <c r="A24" s="2"/>
      <c r="B24" s="35" t="s">
        <v>38</v>
      </c>
      <c r="C24" s="16"/>
      <c r="D24" s="16"/>
      <c r="E24" s="16"/>
      <c r="F24" s="16"/>
      <c r="G24" s="16"/>
      <c r="H24" s="16"/>
      <c r="I24" s="16"/>
      <c r="J24" s="16"/>
      <c r="K24" s="16"/>
      <c r="L24" s="16"/>
      <c r="M24" s="2"/>
      <c r="N24" s="2"/>
      <c r="O24" s="2"/>
    </row>
    <row r="25" spans="1:15" x14ac:dyDescent="0.25">
      <c r="A25" s="2"/>
      <c r="B25" s="37" t="s">
        <v>18</v>
      </c>
      <c r="C25" s="16"/>
      <c r="D25" s="16"/>
      <c r="E25" s="16"/>
      <c r="F25" s="16"/>
      <c r="G25" s="16"/>
      <c r="H25" s="16"/>
      <c r="I25" s="16"/>
      <c r="J25" s="16"/>
      <c r="K25" s="16"/>
      <c r="L25" s="16"/>
      <c r="M25" s="2"/>
      <c r="N25" s="2"/>
      <c r="O25" s="2"/>
    </row>
    <row r="26" spans="1:15" x14ac:dyDescent="0.25">
      <c r="A26" s="2"/>
      <c r="B26" s="34"/>
      <c r="C26" s="16"/>
      <c r="D26" s="16"/>
      <c r="E26" s="16"/>
      <c r="F26" s="16"/>
      <c r="G26" s="16"/>
      <c r="H26" s="16"/>
      <c r="I26" s="16"/>
      <c r="J26" s="16"/>
      <c r="K26" s="16"/>
      <c r="L26" s="16"/>
      <c r="M26" s="2"/>
      <c r="N26" s="2"/>
      <c r="O26" s="2"/>
    </row>
    <row r="27" spans="1:15" x14ac:dyDescent="0.25">
      <c r="A27" s="24" t="s">
        <v>19</v>
      </c>
      <c r="B27" s="31" t="s">
        <v>42</v>
      </c>
      <c r="C27" s="16"/>
      <c r="D27" s="16"/>
      <c r="E27" s="16"/>
      <c r="F27" s="16"/>
      <c r="G27" s="16"/>
      <c r="H27" s="16"/>
      <c r="I27" s="16"/>
      <c r="J27" s="16"/>
      <c r="K27" s="16"/>
      <c r="L27" s="16"/>
      <c r="M27" s="2"/>
      <c r="N27" s="2"/>
      <c r="O27" s="2"/>
    </row>
    <row r="28" spans="1:15" x14ac:dyDescent="0.25">
      <c r="A28" s="2"/>
      <c r="B28" s="31" t="s">
        <v>40</v>
      </c>
      <c r="C28" s="16"/>
      <c r="D28" s="16"/>
      <c r="E28" s="16"/>
      <c r="F28" s="16"/>
      <c r="G28" s="16"/>
      <c r="H28" s="16"/>
      <c r="I28" s="16"/>
      <c r="J28" s="16"/>
      <c r="K28" s="16"/>
      <c r="L28" s="16"/>
      <c r="M28" s="2"/>
      <c r="N28" s="2"/>
      <c r="O28" s="2"/>
    </row>
    <row r="29" spans="1:15" x14ac:dyDescent="0.25">
      <c r="A29" s="2"/>
      <c r="B29" s="35" t="s">
        <v>20</v>
      </c>
      <c r="C29" s="2"/>
      <c r="D29" s="2"/>
      <c r="E29" s="2"/>
      <c r="F29" s="2"/>
      <c r="G29" s="2"/>
      <c r="H29" s="2"/>
      <c r="I29" s="2"/>
      <c r="J29" s="2"/>
      <c r="K29" s="2"/>
      <c r="L29" s="2"/>
      <c r="M29" s="2"/>
      <c r="N29" s="2"/>
      <c r="O29" s="2"/>
    </row>
    <row r="30" spans="1:15" x14ac:dyDescent="0.25">
      <c r="C30" s="16"/>
      <c r="D30" s="16"/>
      <c r="E30" s="16"/>
      <c r="F30" s="16"/>
      <c r="G30" s="16"/>
      <c r="H30" s="16"/>
      <c r="I30" s="16"/>
      <c r="J30" s="16"/>
      <c r="K30" s="16"/>
      <c r="L30" s="16"/>
      <c r="M30" s="2"/>
      <c r="N30" s="2"/>
      <c r="O30" s="2"/>
    </row>
    <row r="31" spans="1:15" x14ac:dyDescent="0.25">
      <c r="A31" s="20" t="s">
        <v>43</v>
      </c>
      <c r="B31" s="33"/>
    </row>
    <row r="32" spans="1:15" x14ac:dyDescent="0.25">
      <c r="A32" s="20"/>
      <c r="B32" s="33"/>
      <c r="C32" s="23"/>
      <c r="D32" s="23"/>
      <c r="E32" s="23"/>
      <c r="F32" s="23"/>
      <c r="G32" s="23"/>
      <c r="H32" s="23"/>
      <c r="I32" s="23"/>
      <c r="J32" s="23"/>
      <c r="K32" s="23"/>
      <c r="L32" s="23"/>
      <c r="M32" s="2"/>
      <c r="N32" s="2"/>
      <c r="O32" s="2"/>
    </row>
    <row r="33" spans="1:15" x14ac:dyDescent="0.25">
      <c r="A33" s="22" t="s">
        <v>17</v>
      </c>
      <c r="B33" s="35" t="s">
        <v>120</v>
      </c>
      <c r="C33" s="23"/>
      <c r="D33" s="23"/>
      <c r="E33" s="23"/>
      <c r="F33" s="23"/>
      <c r="G33" s="23"/>
      <c r="H33" s="23"/>
      <c r="I33" s="23"/>
      <c r="J33" s="23"/>
      <c r="K33" s="23"/>
      <c r="L33" s="23"/>
      <c r="M33" s="2"/>
      <c r="N33" s="2"/>
      <c r="O33" s="2"/>
    </row>
    <row r="34" spans="1:15" x14ac:dyDescent="0.25">
      <c r="A34" s="2"/>
      <c r="B34" s="35" t="s">
        <v>35</v>
      </c>
      <c r="C34" s="23"/>
      <c r="D34" s="23"/>
      <c r="E34" s="23"/>
      <c r="F34" s="23"/>
      <c r="G34" s="23"/>
      <c r="H34" s="23"/>
      <c r="I34" s="23"/>
      <c r="J34" s="23"/>
      <c r="K34" s="23"/>
      <c r="L34" s="23"/>
      <c r="M34" s="2"/>
      <c r="N34" s="2"/>
      <c r="O34" s="2"/>
    </row>
    <row r="35" spans="1:15" x14ac:dyDescent="0.25">
      <c r="A35" s="2"/>
      <c r="B35" s="35" t="s">
        <v>44</v>
      </c>
    </row>
    <row r="36" spans="1:15" x14ac:dyDescent="0.25">
      <c r="A36" s="2"/>
      <c r="B36" s="35" t="s">
        <v>46</v>
      </c>
    </row>
    <row r="37" spans="1:15" x14ac:dyDescent="0.25">
      <c r="A37" s="2"/>
      <c r="B37" s="35" t="s">
        <v>48</v>
      </c>
    </row>
    <row r="38" spans="1:15" x14ac:dyDescent="0.25">
      <c r="A38" s="2"/>
      <c r="B38" s="35" t="s">
        <v>115</v>
      </c>
    </row>
    <row r="39" spans="1:15" x14ac:dyDescent="0.25">
      <c r="A39" s="2"/>
      <c r="B39" s="37" t="s">
        <v>18</v>
      </c>
    </row>
    <row r="40" spans="1:15" x14ac:dyDescent="0.25">
      <c r="A40" s="2"/>
      <c r="B40" s="34"/>
      <c r="C40" s="16"/>
      <c r="D40" s="16"/>
      <c r="E40" s="16"/>
      <c r="F40" s="16"/>
      <c r="G40" s="16"/>
      <c r="H40" s="16"/>
      <c r="I40" s="16"/>
      <c r="J40" s="16"/>
      <c r="K40" s="16"/>
      <c r="L40" s="16"/>
      <c r="M40" s="2"/>
      <c r="N40" s="2"/>
      <c r="O40" s="2"/>
    </row>
    <row r="41" spans="1:15" x14ac:dyDescent="0.25">
      <c r="A41" s="24" t="s">
        <v>19</v>
      </c>
      <c r="B41" s="31" t="s">
        <v>47</v>
      </c>
      <c r="C41" s="16"/>
      <c r="D41" s="16"/>
      <c r="E41" s="16"/>
      <c r="F41" s="16"/>
      <c r="G41" s="16"/>
      <c r="H41" s="16"/>
      <c r="I41" s="16"/>
      <c r="J41" s="16"/>
      <c r="K41" s="16"/>
      <c r="L41" s="16"/>
      <c r="M41" s="2"/>
      <c r="N41" s="2"/>
      <c r="O41" s="2"/>
    </row>
    <row r="42" spans="1:15" x14ac:dyDescent="0.25">
      <c r="A42" s="2"/>
      <c r="B42" s="31" t="s">
        <v>49</v>
      </c>
      <c r="C42" s="16"/>
      <c r="D42" s="16"/>
      <c r="E42" s="16"/>
      <c r="F42" s="16"/>
      <c r="G42" s="16"/>
      <c r="H42" s="16"/>
      <c r="I42" s="16"/>
      <c r="J42" s="16"/>
      <c r="K42" s="16"/>
      <c r="L42" s="16"/>
      <c r="M42" s="2"/>
      <c r="N42" s="2"/>
      <c r="O42" s="2"/>
    </row>
    <row r="43" spans="1:15" x14ac:dyDescent="0.25">
      <c r="A43" s="2"/>
      <c r="B43" s="35" t="s">
        <v>50</v>
      </c>
      <c r="C43" s="2"/>
      <c r="D43" s="2"/>
      <c r="E43" s="2"/>
      <c r="F43" s="2"/>
      <c r="G43" s="2"/>
      <c r="H43" s="2"/>
      <c r="I43" s="2"/>
      <c r="J43" s="2"/>
      <c r="K43" s="2"/>
      <c r="L43" s="2"/>
      <c r="M43" s="2"/>
      <c r="N43" s="2"/>
      <c r="O43" s="2"/>
    </row>
    <row r="44" spans="1:15" x14ac:dyDescent="0.25">
      <c r="C44" s="16"/>
      <c r="D44" s="16"/>
      <c r="E44" s="16"/>
      <c r="F44" s="16"/>
      <c r="G44" s="16"/>
      <c r="H44" s="16"/>
      <c r="I44" s="16"/>
      <c r="J44" s="16"/>
      <c r="K44" s="16"/>
      <c r="L44" s="16"/>
      <c r="M44" s="2"/>
      <c r="N44" s="2"/>
      <c r="O44" s="2"/>
    </row>
    <row r="45" spans="1:15" x14ac:dyDescent="0.25">
      <c r="A45" s="20" t="s">
        <v>51</v>
      </c>
      <c r="B45" s="33"/>
    </row>
    <row r="46" spans="1:15" x14ac:dyDescent="0.25">
      <c r="A46" s="20"/>
      <c r="B46" s="33"/>
    </row>
    <row r="47" spans="1:15" x14ac:dyDescent="0.25">
      <c r="A47" s="22" t="s">
        <v>17</v>
      </c>
      <c r="B47" s="35" t="s">
        <v>120</v>
      </c>
    </row>
    <row r="48" spans="1:15" x14ac:dyDescent="0.25">
      <c r="A48" s="2"/>
      <c r="B48" s="35" t="s">
        <v>52</v>
      </c>
    </row>
    <row r="49" spans="1:15" x14ac:dyDescent="0.25">
      <c r="A49" s="2"/>
      <c r="B49" s="35" t="s">
        <v>54</v>
      </c>
    </row>
    <row r="50" spans="1:15" x14ac:dyDescent="0.25">
      <c r="A50" s="2"/>
      <c r="B50" s="35" t="s">
        <v>46</v>
      </c>
    </row>
    <row r="51" spans="1:15" x14ac:dyDescent="0.25">
      <c r="A51" s="2"/>
      <c r="B51" s="35" t="s">
        <v>48</v>
      </c>
    </row>
    <row r="52" spans="1:15" x14ac:dyDescent="0.25">
      <c r="A52" s="2"/>
      <c r="B52" s="35" t="s">
        <v>45</v>
      </c>
    </row>
    <row r="53" spans="1:15" x14ac:dyDescent="0.25">
      <c r="A53" s="2"/>
      <c r="B53" s="37" t="s">
        <v>18</v>
      </c>
    </row>
    <row r="54" spans="1:15" x14ac:dyDescent="0.25">
      <c r="A54" s="2"/>
      <c r="B54" s="34"/>
    </row>
    <row r="55" spans="1:15" x14ac:dyDescent="0.25">
      <c r="A55" s="24" t="s">
        <v>19</v>
      </c>
      <c r="B55" s="31" t="s">
        <v>53</v>
      </c>
    </row>
    <row r="56" spans="1:15" x14ac:dyDescent="0.25">
      <c r="A56" s="2"/>
      <c r="B56" s="31" t="s">
        <v>55</v>
      </c>
    </row>
    <row r="57" spans="1:15" x14ac:dyDescent="0.25">
      <c r="A57" s="2"/>
      <c r="B57" s="35" t="s">
        <v>56</v>
      </c>
      <c r="C57" s="2"/>
      <c r="D57" s="2"/>
      <c r="E57" s="2"/>
      <c r="F57" s="2"/>
      <c r="G57" s="2"/>
      <c r="H57" s="2"/>
      <c r="I57" s="2"/>
      <c r="J57" s="2"/>
      <c r="K57" s="2"/>
      <c r="L57" s="2"/>
      <c r="M57" s="2"/>
      <c r="N57" s="2"/>
      <c r="O57" s="2"/>
    </row>
  </sheetData>
  <phoneticPr fontId="18" type="noConversion"/>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D9145-2E8D-4D37-A1C4-B5575DE40275}">
  <sheetPr>
    <tabColor theme="9"/>
  </sheetPr>
  <dimension ref="A1:O49"/>
  <sheetViews>
    <sheetView tabSelected="1" zoomScale="110" zoomScaleNormal="110" workbookViewId="0">
      <pane ySplit="11" topLeftCell="A12" activePane="bottomLeft" state="frozen"/>
      <selection pane="bottomLeft" activeCell="D42" sqref="D42"/>
    </sheetView>
  </sheetViews>
  <sheetFormatPr defaultColWidth="9" defaultRowHeight="13.2" x14ac:dyDescent="0.25"/>
  <cols>
    <col min="1" max="1" width="9" style="2"/>
    <col min="2" max="2" width="20.5546875" style="2" customWidth="1"/>
    <col min="3" max="3" width="17" style="2" bestFit="1" customWidth="1"/>
    <col min="4" max="5" width="12.5546875" style="2" customWidth="1"/>
    <col min="6" max="6" width="9" style="2"/>
    <col min="7" max="7" width="11.5546875" style="2" customWidth="1"/>
    <col min="8" max="9" width="9" style="2"/>
    <col min="10" max="10" width="10.44140625" style="2" bestFit="1" customWidth="1"/>
    <col min="11" max="16384" width="9" style="2"/>
  </cols>
  <sheetData>
    <row r="1" spans="1:15" x14ac:dyDescent="0.25">
      <c r="A1" s="1" t="s">
        <v>0</v>
      </c>
      <c r="B1" s="1"/>
      <c r="C1" s="1"/>
      <c r="D1" s="1"/>
      <c r="E1" s="1"/>
      <c r="F1" s="1"/>
      <c r="G1" s="1"/>
      <c r="H1" s="1"/>
      <c r="I1" s="1"/>
      <c r="J1" s="1"/>
      <c r="K1" s="1"/>
      <c r="L1" s="1"/>
      <c r="M1" s="1"/>
      <c r="N1" s="1"/>
      <c r="O1" s="1"/>
    </row>
    <row r="2" spans="1:15" ht="13.8" thickBot="1" x14ac:dyDescent="0.3">
      <c r="A2" s="3"/>
      <c r="B2" s="3"/>
      <c r="C2" s="3"/>
      <c r="D2" s="3"/>
      <c r="E2" s="3"/>
      <c r="F2" s="3"/>
      <c r="G2" s="3"/>
      <c r="H2" s="3"/>
      <c r="I2" s="3"/>
      <c r="J2" s="3"/>
      <c r="K2" s="3"/>
      <c r="L2" s="3"/>
      <c r="M2" s="3"/>
      <c r="N2" s="3"/>
      <c r="O2" s="3"/>
    </row>
    <row r="3" spans="1:15" ht="13.8" thickBot="1" x14ac:dyDescent="0.3">
      <c r="A3" s="3"/>
      <c r="B3" s="4" t="s">
        <v>22</v>
      </c>
      <c r="C3" s="25" t="s">
        <v>2</v>
      </c>
      <c r="D3" s="3"/>
      <c r="E3" s="5" t="s">
        <v>1</v>
      </c>
      <c r="F3" s="5" t="s">
        <v>117</v>
      </c>
      <c r="G3" s="5" t="s">
        <v>7</v>
      </c>
      <c r="H3" s="5" t="s">
        <v>2</v>
      </c>
      <c r="I3" s="3"/>
      <c r="J3" s="3"/>
      <c r="K3" s="3"/>
      <c r="L3" s="3"/>
      <c r="M3" s="3"/>
      <c r="N3" s="3"/>
      <c r="O3" s="3"/>
    </row>
    <row r="4" spans="1:15" ht="27" thickBot="1" x14ac:dyDescent="0.3">
      <c r="A4" s="3"/>
      <c r="B4" s="26" t="s">
        <v>21</v>
      </c>
      <c r="C4" s="27">
        <v>814993</v>
      </c>
      <c r="D4" s="3"/>
      <c r="E4" s="3"/>
      <c r="F4" s="3"/>
      <c r="G4" s="3"/>
      <c r="H4" s="3"/>
      <c r="I4" s="3"/>
      <c r="J4" s="3"/>
      <c r="K4" s="3"/>
      <c r="L4" s="3"/>
      <c r="M4" s="3"/>
      <c r="N4" s="3"/>
      <c r="O4" s="3"/>
    </row>
    <row r="5" spans="1:15" x14ac:dyDescent="0.25">
      <c r="A5" s="3"/>
      <c r="B5" s="3"/>
      <c r="C5" s="3"/>
      <c r="D5" s="3"/>
      <c r="E5" s="3"/>
      <c r="F5" s="3"/>
      <c r="G5" s="3"/>
      <c r="H5" s="3"/>
      <c r="I5" s="3"/>
      <c r="J5" s="3"/>
      <c r="K5" s="3"/>
      <c r="L5" s="3"/>
      <c r="M5" s="3"/>
      <c r="N5" s="3"/>
      <c r="O5" s="3"/>
    </row>
    <row r="6" spans="1:15" x14ac:dyDescent="0.25">
      <c r="A6" s="1" t="s">
        <v>3</v>
      </c>
      <c r="B6" s="6"/>
      <c r="C6" s="1"/>
      <c r="D6" s="1"/>
      <c r="E6" s="1"/>
      <c r="F6" s="1"/>
      <c r="G6" s="1"/>
      <c r="H6" s="1"/>
      <c r="I6" s="1"/>
      <c r="J6" s="1"/>
      <c r="K6" s="1"/>
      <c r="L6" s="1"/>
      <c r="M6" s="1"/>
      <c r="N6" s="1"/>
      <c r="O6" s="1"/>
    </row>
    <row r="7" spans="1:15" ht="13.8" thickBot="1" x14ac:dyDescent="0.3">
      <c r="A7" s="3"/>
      <c r="B7" s="3"/>
      <c r="C7" s="3"/>
      <c r="D7" s="3"/>
      <c r="E7" s="3"/>
      <c r="F7" s="3"/>
      <c r="G7" s="3"/>
      <c r="H7" s="3"/>
      <c r="I7" s="3"/>
      <c r="J7" s="3"/>
      <c r="K7" s="3"/>
      <c r="L7" s="3"/>
      <c r="M7" s="3"/>
      <c r="N7" s="3"/>
      <c r="O7" s="3"/>
    </row>
    <row r="8" spans="1:15" ht="13.8" thickBot="1" x14ac:dyDescent="0.3">
      <c r="A8" s="3"/>
      <c r="B8" s="4" t="s">
        <v>6</v>
      </c>
      <c r="C8" s="50">
        <f>MATCH(CH_Turnover, Turnover_Bands_Min, 1)</f>
        <v>1</v>
      </c>
      <c r="D8" s="3"/>
      <c r="E8" s="5"/>
      <c r="F8" s="5"/>
      <c r="G8" s="3"/>
      <c r="H8" s="3"/>
      <c r="I8" s="3"/>
      <c r="J8" s="3"/>
      <c r="K8" s="3"/>
      <c r="L8" s="3"/>
      <c r="M8" s="3"/>
      <c r="N8" s="3"/>
      <c r="O8" s="3"/>
    </row>
    <row r="9" spans="1:15" ht="13.8" thickBot="1" x14ac:dyDescent="0.3">
      <c r="A9" s="3"/>
      <c r="B9" s="4" t="s">
        <v>4</v>
      </c>
      <c r="C9" s="28">
        <f>MAX(Base_Cost_New + Additional_AAF_New, C47)</f>
        <v>151.14045184999998</v>
      </c>
      <c r="D9" s="3"/>
      <c r="E9" s="3"/>
      <c r="F9" s="3"/>
      <c r="G9" s="3"/>
      <c r="H9" s="3"/>
      <c r="I9" s="3"/>
      <c r="J9" s="3"/>
      <c r="K9" s="3"/>
      <c r="L9" s="3"/>
      <c r="M9" s="3"/>
      <c r="N9" s="3"/>
      <c r="O9" s="3"/>
    </row>
    <row r="10" spans="1:15" x14ac:dyDescent="0.25">
      <c r="A10" s="3"/>
      <c r="B10" s="3"/>
      <c r="C10" s="3"/>
      <c r="D10" s="3"/>
      <c r="E10" s="3"/>
      <c r="F10" s="3"/>
      <c r="G10" s="3"/>
      <c r="H10" s="3"/>
      <c r="I10" s="3"/>
      <c r="J10" s="3"/>
      <c r="K10" s="3"/>
      <c r="L10" s="3"/>
      <c r="M10" s="3"/>
      <c r="N10" s="3"/>
      <c r="O10" s="3"/>
    </row>
    <row r="11" spans="1:15" x14ac:dyDescent="0.25">
      <c r="A11" s="7" t="s">
        <v>5</v>
      </c>
      <c r="B11" s="7"/>
      <c r="C11" s="7"/>
      <c r="D11" s="7"/>
      <c r="E11" s="7"/>
      <c r="F11" s="7"/>
      <c r="G11" s="7"/>
      <c r="H11" s="7"/>
      <c r="I11" s="7"/>
      <c r="J11" s="7"/>
      <c r="K11" s="7"/>
      <c r="L11" s="7"/>
      <c r="M11" s="7"/>
      <c r="N11" s="7"/>
      <c r="O11" s="7"/>
    </row>
    <row r="12" spans="1:15" s="8" customFormat="1" ht="10.199999999999999" x14ac:dyDescent="0.25"/>
    <row r="13" spans="1:15" s="8" customFormat="1" ht="10.199999999999999" x14ac:dyDescent="0.25">
      <c r="B13" s="9" t="s">
        <v>24</v>
      </c>
      <c r="C13" s="9">
        <f>MATCH(CoC_Type, CoC_Cert_Types, 0) - 1</f>
        <v>2</v>
      </c>
    </row>
    <row r="14" spans="1:15" s="8" customFormat="1" ht="10.199999999999999" x14ac:dyDescent="0.25"/>
    <row r="15" spans="1:15" s="8" customFormat="1" ht="10.199999999999999" x14ac:dyDescent="0.25">
      <c r="A15" s="10" t="s">
        <v>23</v>
      </c>
      <c r="B15" s="11"/>
      <c r="C15" s="11"/>
      <c r="D15" s="11"/>
      <c r="E15" s="11"/>
      <c r="F15" s="11"/>
      <c r="G15" s="11"/>
      <c r="H15" s="11"/>
      <c r="I15" s="11"/>
      <c r="J15" s="11"/>
      <c r="K15" s="11"/>
      <c r="L15" s="11"/>
      <c r="M15" s="11"/>
      <c r="N15" s="11"/>
      <c r="O15" s="11"/>
    </row>
    <row r="16" spans="1:15" s="8" customFormat="1" ht="10.199999999999999" x14ac:dyDescent="0.25"/>
    <row r="17" spans="1:15" s="8" customFormat="1" ht="10.199999999999999" x14ac:dyDescent="0.25">
      <c r="B17" s="8" t="s">
        <v>25</v>
      </c>
      <c r="C17" s="12" t="s">
        <v>6</v>
      </c>
      <c r="D17" s="12" t="s">
        <v>26</v>
      </c>
      <c r="E17" s="12" t="s">
        <v>27</v>
      </c>
    </row>
    <row r="18" spans="1:15" s="8" customFormat="1" ht="10.199999999999999" x14ac:dyDescent="0.25">
      <c r="B18" s="29">
        <v>0</v>
      </c>
      <c r="C18" s="12">
        <v>1</v>
      </c>
      <c r="D18" s="29">
        <f>Inflation!E24</f>
        <v>0</v>
      </c>
      <c r="E18" s="29">
        <f>Inflation!E38</f>
        <v>0</v>
      </c>
      <c r="H18" s="13"/>
    </row>
    <row r="19" spans="1:15" s="8" customFormat="1" ht="10.199999999999999" x14ac:dyDescent="0.25">
      <c r="B19" s="29">
        <v>1000000</v>
      </c>
      <c r="C19" s="12">
        <v>2</v>
      </c>
      <c r="D19" s="29">
        <f>Inflation!E25</f>
        <v>619</v>
      </c>
      <c r="E19" s="29">
        <f>Inflation!E39</f>
        <v>186</v>
      </c>
      <c r="H19" s="13"/>
    </row>
    <row r="20" spans="1:15" s="8" customFormat="1" ht="10.199999999999999" x14ac:dyDescent="0.25">
      <c r="B20" s="29">
        <v>5000000</v>
      </c>
      <c r="C20" s="12">
        <v>3</v>
      </c>
      <c r="D20" s="29">
        <f>Inflation!E26</f>
        <v>1429</v>
      </c>
      <c r="E20" s="29">
        <f>Inflation!E40</f>
        <v>429</v>
      </c>
      <c r="H20" s="13"/>
    </row>
    <row r="21" spans="1:15" s="8" customFormat="1" ht="10.199999999999999" x14ac:dyDescent="0.25">
      <c r="B21" s="29">
        <v>25000000</v>
      </c>
      <c r="C21" s="12">
        <v>4</v>
      </c>
      <c r="D21" s="29">
        <f>Inflation!E27</f>
        <v>3115</v>
      </c>
      <c r="E21" s="29">
        <f>Inflation!E41</f>
        <v>935</v>
      </c>
      <c r="H21" s="13"/>
    </row>
    <row r="22" spans="1:15" s="8" customFormat="1" ht="10.199999999999999" x14ac:dyDescent="0.25">
      <c r="B22" s="29">
        <v>100000000</v>
      </c>
      <c r="C22" s="12">
        <v>5</v>
      </c>
      <c r="D22" s="29">
        <f>Inflation!E28</f>
        <v>5644</v>
      </c>
      <c r="E22" s="29">
        <f>Inflation!E42</f>
        <v>1694</v>
      </c>
      <c r="H22" s="13"/>
    </row>
    <row r="23" spans="1:15" s="8" customFormat="1" ht="10.199999999999999" x14ac:dyDescent="0.25">
      <c r="B23" s="29">
        <v>500000000</v>
      </c>
      <c r="C23" s="12">
        <v>6</v>
      </c>
      <c r="D23" s="29">
        <f>Inflation!E29</f>
        <v>13736</v>
      </c>
      <c r="E23" s="29">
        <f>Inflation!E43</f>
        <v>4122</v>
      </c>
      <c r="H23" s="13"/>
    </row>
    <row r="24" spans="1:15" s="8" customFormat="1" ht="10.199999999999999" x14ac:dyDescent="0.25">
      <c r="B24" s="29">
        <v>2000000000</v>
      </c>
      <c r="C24" s="12">
        <v>7</v>
      </c>
      <c r="D24" s="29">
        <f>Inflation!E30</f>
        <v>39026</v>
      </c>
      <c r="E24" s="29">
        <f>Inflation!E44</f>
        <v>11712</v>
      </c>
      <c r="H24" s="13"/>
    </row>
    <row r="25" spans="1:15" s="8" customFormat="1" ht="10.199999999999999" x14ac:dyDescent="0.25"/>
    <row r="26" spans="1:15" s="8" customFormat="1" ht="10.199999999999999" x14ac:dyDescent="0.25">
      <c r="B26" s="8" t="s">
        <v>28</v>
      </c>
      <c r="C26" s="29" cm="1">
        <f t="array" ref="C26">IF(CoC_Type &lt;&gt; "None", INDEX(Turnover_Bands_Min, AAF_Class), 0)</f>
        <v>0</v>
      </c>
    </row>
    <row r="27" spans="1:15" s="8" customFormat="1" ht="10.199999999999999" x14ac:dyDescent="0.25">
      <c r="B27" s="8" t="s">
        <v>29</v>
      </c>
      <c r="C27" s="29">
        <f>IF(CoC_Type &lt;&gt; "None", VLOOKUP(AAF_Class, Base_Costs_Lookup, COC_Type_Index + 1), 0)</f>
        <v>0</v>
      </c>
    </row>
    <row r="28" spans="1:15" s="8" customFormat="1" ht="10.199999999999999" x14ac:dyDescent="0.25"/>
    <row r="29" spans="1:15" s="8" customFormat="1" ht="10.199999999999999" x14ac:dyDescent="0.25">
      <c r="A29" s="10" t="s">
        <v>34</v>
      </c>
      <c r="B29" s="11"/>
      <c r="C29" s="11"/>
      <c r="D29" s="11"/>
      <c r="E29" s="11"/>
      <c r="F29" s="11"/>
      <c r="G29" s="11"/>
      <c r="H29" s="11"/>
      <c r="I29" s="11"/>
      <c r="J29" s="11"/>
      <c r="K29" s="11"/>
      <c r="L29" s="11"/>
      <c r="M29" s="11"/>
      <c r="N29" s="11"/>
      <c r="O29" s="11"/>
    </row>
    <row r="30" spans="1:15" s="8" customFormat="1" ht="10.199999999999999" x14ac:dyDescent="0.25"/>
    <row r="31" spans="1:15" s="8" customFormat="1" ht="10.199999999999999" x14ac:dyDescent="0.25">
      <c r="B31" s="8" t="s">
        <v>25</v>
      </c>
      <c r="C31" s="12" t="s">
        <v>6</v>
      </c>
      <c r="D31" s="12" t="s">
        <v>26</v>
      </c>
      <c r="E31" s="12" t="s">
        <v>27</v>
      </c>
    </row>
    <row r="32" spans="1:15" s="8" customFormat="1" ht="10.199999999999999" x14ac:dyDescent="0.25">
      <c r="B32" s="29">
        <f t="shared" ref="B32:B38" si="0">B18</f>
        <v>0</v>
      </c>
      <c r="C32" s="12">
        <f t="shared" ref="C32:C38" si="1">C18</f>
        <v>1</v>
      </c>
      <c r="D32" s="30">
        <f>Inflation!E6</f>
        <v>618.17999999999995</v>
      </c>
      <c r="E32" s="30">
        <f>Inflation!E31</f>
        <v>185.45</v>
      </c>
    </row>
    <row r="33" spans="1:15" s="8" customFormat="1" ht="10.199999999999999" x14ac:dyDescent="0.25">
      <c r="B33" s="29">
        <f t="shared" si="0"/>
        <v>1000000</v>
      </c>
      <c r="C33" s="12">
        <f t="shared" si="1"/>
        <v>2</v>
      </c>
      <c r="D33" s="30">
        <f>Inflation!E7</f>
        <v>202.31</v>
      </c>
      <c r="E33" s="30">
        <f>Inflation!E32</f>
        <v>60.69</v>
      </c>
    </row>
    <row r="34" spans="1:15" s="8" customFormat="1" ht="10.199999999999999" x14ac:dyDescent="0.25">
      <c r="B34" s="29">
        <f t="shared" si="0"/>
        <v>5000000</v>
      </c>
      <c r="C34" s="12">
        <f t="shared" si="1"/>
        <v>3</v>
      </c>
      <c r="D34" s="30">
        <f>Inflation!E8</f>
        <v>84.3</v>
      </c>
      <c r="E34" s="30">
        <f>Inflation!E33</f>
        <v>25.29</v>
      </c>
    </row>
    <row r="35" spans="1:15" s="8" customFormat="1" ht="10.199999999999999" x14ac:dyDescent="0.25">
      <c r="B35" s="29">
        <f t="shared" si="0"/>
        <v>25000000</v>
      </c>
      <c r="C35" s="12">
        <f t="shared" si="1"/>
        <v>4</v>
      </c>
      <c r="D35" s="30">
        <f>Inflation!E9</f>
        <v>33.72</v>
      </c>
      <c r="E35" s="30">
        <f>Inflation!E34</f>
        <v>10.119999999999999</v>
      </c>
    </row>
    <row r="36" spans="1:15" s="8" customFormat="1" ht="10.199999999999999" x14ac:dyDescent="0.25">
      <c r="B36" s="29">
        <f t="shared" si="0"/>
        <v>100000000</v>
      </c>
      <c r="C36" s="12">
        <f t="shared" si="1"/>
        <v>5</v>
      </c>
      <c r="D36" s="30">
        <f>Inflation!E10</f>
        <v>20.23</v>
      </c>
      <c r="E36" s="30">
        <f>Inflation!E35</f>
        <v>6.07</v>
      </c>
    </row>
    <row r="37" spans="1:15" s="8" customFormat="1" ht="10.199999999999999" x14ac:dyDescent="0.25">
      <c r="B37" s="29">
        <f t="shared" si="0"/>
        <v>500000000</v>
      </c>
      <c r="C37" s="12">
        <f t="shared" si="1"/>
        <v>6</v>
      </c>
      <c r="D37" s="30">
        <f>Inflation!E11</f>
        <v>16.86</v>
      </c>
      <c r="E37" s="30">
        <f>Inflation!E36</f>
        <v>5.0599999999999996</v>
      </c>
    </row>
    <row r="38" spans="1:15" s="8" customFormat="1" ht="10.199999999999999" x14ac:dyDescent="0.25">
      <c r="B38" s="29">
        <f t="shared" si="0"/>
        <v>2000000000</v>
      </c>
      <c r="C38" s="12">
        <f t="shared" si="1"/>
        <v>7</v>
      </c>
      <c r="D38" s="30">
        <f>Inflation!E12</f>
        <v>14.05</v>
      </c>
      <c r="E38" s="30">
        <f>Inflation!E37</f>
        <v>4.22</v>
      </c>
    </row>
    <row r="39" spans="1:15" s="8" customFormat="1" ht="10.199999999999999" x14ac:dyDescent="0.25"/>
    <row r="40" spans="1:15" s="8" customFormat="1" ht="10.199999999999999" x14ac:dyDescent="0.25">
      <c r="B40" s="8" t="s">
        <v>30</v>
      </c>
      <c r="C40" s="30">
        <f>IF(CoC_Type &lt;&gt; "None", VLOOKUP(AAF_Class, Variable_Costs_Lookup, COC_Type_Index + 1), 0)</f>
        <v>185.45</v>
      </c>
    </row>
    <row r="41" spans="1:15" s="8" customFormat="1" ht="10.199999999999999" x14ac:dyDescent="0.25">
      <c r="B41" s="8" t="s">
        <v>31</v>
      </c>
      <c r="C41" s="29">
        <f>IF(CoC_Type &lt;&gt; "None", CH_Turnover - Class_Base_Turnover_New, 0)</f>
        <v>814993</v>
      </c>
    </row>
    <row r="42" spans="1:15" s="8" customFormat="1" ht="10.199999999999999" x14ac:dyDescent="0.25">
      <c r="B42" s="8" t="s">
        <v>32</v>
      </c>
      <c r="C42" s="29">
        <f>C41 / 1000000 * C40</f>
        <v>151.14045184999998</v>
      </c>
    </row>
    <row r="43" spans="1:15" ht="10.35" customHeight="1" x14ac:dyDescent="0.25"/>
    <row r="44" spans="1:15" ht="10.35" customHeight="1" x14ac:dyDescent="0.25">
      <c r="A44" s="10" t="s">
        <v>8</v>
      </c>
      <c r="B44" s="11"/>
      <c r="C44" s="11"/>
      <c r="D44" s="11"/>
      <c r="E44" s="11"/>
      <c r="F44" s="11"/>
      <c r="G44" s="11"/>
      <c r="H44" s="11"/>
      <c r="I44" s="11"/>
      <c r="J44" s="11"/>
      <c r="K44" s="11"/>
      <c r="L44" s="11"/>
      <c r="M44" s="11"/>
      <c r="N44" s="11"/>
      <c r="O44" s="11"/>
    </row>
    <row r="45" spans="1:15" ht="10.35" customHeight="1" x14ac:dyDescent="0.25"/>
    <row r="46" spans="1:15" ht="10.35" customHeight="1" x14ac:dyDescent="0.25">
      <c r="B46" s="8" t="s">
        <v>33</v>
      </c>
      <c r="C46" s="29">
        <f>Inflation!E13</f>
        <v>91</v>
      </c>
    </row>
    <row r="47" spans="1:15" ht="10.35" customHeight="1" x14ac:dyDescent="0.25">
      <c r="B47" s="8" t="s">
        <v>100</v>
      </c>
      <c r="C47" s="29">
        <f>IF(CoC_Type = "None", 0, Min_CoC_Fee)</f>
        <v>91</v>
      </c>
    </row>
    <row r="48" spans="1:15" ht="10.35" customHeight="1" x14ac:dyDescent="0.25"/>
    <row r="49" ht="10.35" customHeight="1" x14ac:dyDescent="0.25"/>
  </sheetData>
  <phoneticPr fontId="18" type="noConversion"/>
  <conditionalFormatting sqref="C4">
    <cfRule type="expression" dxfId="0" priority="1">
      <formula>$C$3 = "None"</formula>
    </cfRule>
  </conditionalFormatting>
  <dataValidations count="1">
    <dataValidation type="list" allowBlank="1" showInputMessage="1" showErrorMessage="1" sqref="C3" xr:uid="{3852BA44-0203-46F4-8893-16A5CAC40D59}">
      <formula1>CoC_Cert_Types</formula1>
    </dataValidation>
  </dataValidations>
  <pageMargins left="0.7" right="0.7" top="0.75" bottom="0.75" header="0.3" footer="0.3"/>
  <pageSetup paperSize="9" orientation="portrait" horizontalDpi="4294967293"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100E8-621C-4012-81F5-7FEF298653C2}">
  <sheetPr>
    <tabColor rgb="FF7030A0"/>
  </sheetPr>
  <dimension ref="A1:E70"/>
  <sheetViews>
    <sheetView workbookViewId="0">
      <pane xSplit="1" ySplit="5" topLeftCell="B6" activePane="bottomRight" state="frozen"/>
      <selection pane="topRight" activeCell="B1" sqref="B1"/>
      <selection pane="bottomLeft" activeCell="A6" sqref="A6"/>
      <selection pane="bottomRight" activeCell="J37" sqref="J37"/>
    </sheetView>
  </sheetViews>
  <sheetFormatPr defaultRowHeight="13.2" x14ac:dyDescent="0.25"/>
  <cols>
    <col min="1" max="1" width="33.6640625" customWidth="1"/>
    <col min="2" max="2" width="26.5546875" bestFit="1" customWidth="1"/>
    <col min="3" max="3" width="16" bestFit="1" customWidth="1"/>
    <col min="4" max="4" width="13.6640625" style="15" bestFit="1" customWidth="1"/>
    <col min="5" max="5" width="13.109375" bestFit="1" customWidth="1"/>
  </cols>
  <sheetData>
    <row r="1" spans="1:5" hidden="1" x14ac:dyDescent="0.25">
      <c r="A1" s="39" t="s">
        <v>60</v>
      </c>
      <c r="B1" s="40">
        <v>0</v>
      </c>
    </row>
    <row r="3" spans="1:5" x14ac:dyDescent="0.25">
      <c r="A3" s="46" t="s">
        <v>62</v>
      </c>
    </row>
    <row r="5" spans="1:5" x14ac:dyDescent="0.25">
      <c r="A5" t="s">
        <v>58</v>
      </c>
      <c r="B5" t="s">
        <v>98</v>
      </c>
      <c r="C5" t="s">
        <v>59</v>
      </c>
      <c r="D5" s="14" t="s">
        <v>63</v>
      </c>
      <c r="E5" t="s">
        <v>61</v>
      </c>
    </row>
    <row r="6" spans="1:5" x14ac:dyDescent="0.25">
      <c r="A6" t="s">
        <v>70</v>
      </c>
      <c r="B6" s="44">
        <v>0</v>
      </c>
      <c r="C6" s="41">
        <v>618.17999999999995</v>
      </c>
      <c r="D6" s="42" t="s">
        <v>64</v>
      </c>
      <c r="E6" s="41">
        <f>ROUND(Inflation_Primary_Parameters[[#This Row],[Current Value]] * IF(Inflation_Primary_Parameters[[#This Row],[Inflate (Y/N)]] = "Y", 1+ Inflation_Rate, 1), 2)</f>
        <v>618.17999999999995</v>
      </c>
    </row>
    <row r="7" spans="1:5" x14ac:dyDescent="0.25">
      <c r="A7" t="s">
        <v>71</v>
      </c>
      <c r="B7" s="44">
        <v>1000000</v>
      </c>
      <c r="C7" s="41">
        <v>202.31</v>
      </c>
      <c r="D7" s="42" t="s">
        <v>64</v>
      </c>
      <c r="E7" s="41">
        <f>ROUND(Inflation_Primary_Parameters[[#This Row],[Current Value]] * IF(Inflation_Primary_Parameters[[#This Row],[Inflate (Y/N)]] = "Y", 1+ Inflation_Rate, 1), 2)</f>
        <v>202.31</v>
      </c>
    </row>
    <row r="8" spans="1:5" x14ac:dyDescent="0.25">
      <c r="A8" t="s">
        <v>72</v>
      </c>
      <c r="B8" s="44">
        <v>5000000</v>
      </c>
      <c r="C8" s="41">
        <v>84.3</v>
      </c>
      <c r="D8" s="42" t="s">
        <v>64</v>
      </c>
      <c r="E8" s="41">
        <f>ROUND(Inflation_Primary_Parameters[[#This Row],[Current Value]] * IF(Inflation_Primary_Parameters[[#This Row],[Inflate (Y/N)]] = "Y", 1+ Inflation_Rate, 1), 2)</f>
        <v>84.3</v>
      </c>
    </row>
    <row r="9" spans="1:5" x14ac:dyDescent="0.25">
      <c r="A9" t="s">
        <v>73</v>
      </c>
      <c r="B9" s="44">
        <v>25000000</v>
      </c>
      <c r="C9" s="41">
        <v>33.72</v>
      </c>
      <c r="D9" s="42" t="s">
        <v>64</v>
      </c>
      <c r="E9" s="41">
        <f>ROUND(Inflation_Primary_Parameters[[#This Row],[Current Value]] * IF(Inflation_Primary_Parameters[[#This Row],[Inflate (Y/N)]] = "Y", 1+ Inflation_Rate, 1), 2)</f>
        <v>33.72</v>
      </c>
    </row>
    <row r="10" spans="1:5" x14ac:dyDescent="0.25">
      <c r="A10" t="s">
        <v>74</v>
      </c>
      <c r="B10" s="44">
        <v>100000000</v>
      </c>
      <c r="C10" s="41">
        <v>20.23</v>
      </c>
      <c r="D10" s="42" t="s">
        <v>64</v>
      </c>
      <c r="E10" s="41">
        <f>ROUND(Inflation_Primary_Parameters[[#This Row],[Current Value]] * IF(Inflation_Primary_Parameters[[#This Row],[Inflate (Y/N)]] = "Y", 1+ Inflation_Rate, 1), 2)</f>
        <v>20.23</v>
      </c>
    </row>
    <row r="11" spans="1:5" x14ac:dyDescent="0.25">
      <c r="A11" t="s">
        <v>75</v>
      </c>
      <c r="B11" s="44">
        <v>500000000</v>
      </c>
      <c r="C11" s="41">
        <v>16.86</v>
      </c>
      <c r="D11" s="42" t="s">
        <v>64</v>
      </c>
      <c r="E11" s="41">
        <f>ROUND(Inflation_Primary_Parameters[[#This Row],[Current Value]] * IF(Inflation_Primary_Parameters[[#This Row],[Inflate (Y/N)]] = "Y", 1+ Inflation_Rate, 1), 2)</f>
        <v>16.86</v>
      </c>
    </row>
    <row r="12" spans="1:5" x14ac:dyDescent="0.25">
      <c r="A12" t="s">
        <v>76</v>
      </c>
      <c r="B12" s="44">
        <v>2000000000</v>
      </c>
      <c r="C12" s="41">
        <v>14.05</v>
      </c>
      <c r="D12" s="42" t="s">
        <v>64</v>
      </c>
      <c r="E12" s="41">
        <f>ROUND(Inflation_Primary_Parameters[[#This Row],[Current Value]] * IF(Inflation_Primary_Parameters[[#This Row],[Inflate (Y/N)]] = "Y", 1+ Inflation_Rate, 1), 2)</f>
        <v>14.05</v>
      </c>
    </row>
    <row r="13" spans="1:5" x14ac:dyDescent="0.25">
      <c r="A13" t="s">
        <v>66</v>
      </c>
      <c r="C13">
        <v>91</v>
      </c>
      <c r="D13" s="15" t="s">
        <v>64</v>
      </c>
      <c r="E13" s="41">
        <f>ROUND(Inflation_Primary_Parameters[[#This Row],[Current Value]] * IF(Inflation_Primary_Parameters[[#This Row],[Inflate (Y/N)]] = "Y", 1+ Inflation_Rate, 1), 2)</f>
        <v>91</v>
      </c>
    </row>
    <row r="14" spans="1:5" x14ac:dyDescent="0.25">
      <c r="A14" t="s">
        <v>67</v>
      </c>
      <c r="C14">
        <v>20</v>
      </c>
      <c r="E14" s="41">
        <f>ROUND(Inflation_Primary_Parameters[[#This Row],[Current Value]] * IF(Inflation_Primary_Parameters[[#This Row],[Inflate (Y/N)]] = "Y", 1+ Inflation_Rate, 1), 2)</f>
        <v>20</v>
      </c>
    </row>
    <row r="15" spans="1:5" x14ac:dyDescent="0.25">
      <c r="E15" s="41">
        <f>ROUND(Inflation_Primary_Parameters[[#This Row],[Current Value]] * IF(Inflation_Primary_Parameters[[#This Row],[Inflate (Y/N)]] = "Y", 1+ Inflation_Rate, 1), 2)</f>
        <v>0</v>
      </c>
    </row>
    <row r="16" spans="1:5" x14ac:dyDescent="0.25">
      <c r="A16" t="s">
        <v>57</v>
      </c>
      <c r="C16">
        <v>10</v>
      </c>
      <c r="E16" s="41">
        <f>ROUND(Inflation_Primary_Parameters[[#This Row],[Current Value]] * IF(Inflation_Primary_Parameters[[#This Row],[Inflate (Y/N)]] = "Y", 1+ Inflation_Rate, 1), 2)</f>
        <v>10</v>
      </c>
    </row>
    <row r="17" spans="1:5" x14ac:dyDescent="0.25">
      <c r="E17" s="41">
        <f>ROUND(Inflation_Primary_Parameters[[#This Row],[Current Value]] * IF(Inflation_Primary_Parameters[[#This Row],[Inflate (Y/N)]] = "Y", 1+ Inflation_Rate, 1), 2)</f>
        <v>0</v>
      </c>
    </row>
    <row r="19" spans="1:5" x14ac:dyDescent="0.25">
      <c r="A19" s="46" t="s">
        <v>65</v>
      </c>
    </row>
    <row r="21" spans="1:5" x14ac:dyDescent="0.25">
      <c r="A21" s="38" t="s">
        <v>68</v>
      </c>
      <c r="B21" s="43">
        <v>0.3</v>
      </c>
    </row>
    <row r="23" spans="1:5" x14ac:dyDescent="0.25">
      <c r="A23" t="s">
        <v>58</v>
      </c>
      <c r="B23" t="s">
        <v>98</v>
      </c>
      <c r="C23" t="s">
        <v>59</v>
      </c>
      <c r="D23" s="15" t="s">
        <v>69</v>
      </c>
      <c r="E23" t="s">
        <v>61</v>
      </c>
    </row>
    <row r="24" spans="1:5" x14ac:dyDescent="0.25">
      <c r="A24" t="s">
        <v>77</v>
      </c>
      <c r="B24" s="44">
        <v>0</v>
      </c>
      <c r="C24" s="45">
        <v>0</v>
      </c>
      <c r="D24" s="42" t="str">
        <f>IF(Inflation_Derived_Parameters[[#This Row],[New Value]] &gt; Inflation_Derived_Parameters[[#This Row],[Current Value]], "Y", "N")</f>
        <v>N</v>
      </c>
      <c r="E24" s="45">
        <v>0</v>
      </c>
    </row>
    <row r="25" spans="1:5" x14ac:dyDescent="0.25">
      <c r="A25" t="s">
        <v>78</v>
      </c>
      <c r="B25" s="44">
        <v>1000000</v>
      </c>
      <c r="C25" s="45">
        <v>618.5</v>
      </c>
      <c r="D25" s="42" t="str">
        <f>IF(Inflation_Derived_Parameters[[#This Row],[New Value]] &gt; Inflation_Derived_Parameters[[#This Row],[Current Value]], "Y", "N")</f>
        <v>Y</v>
      </c>
      <c r="E25" s="45">
        <f>ROUNDUP(E24 + E6 * (B25 - B24) / 1000000, 0)</f>
        <v>619</v>
      </c>
    </row>
    <row r="26" spans="1:5" x14ac:dyDescent="0.25">
      <c r="A26" t="s">
        <v>79</v>
      </c>
      <c r="B26" s="44">
        <v>5000000</v>
      </c>
      <c r="C26" s="45">
        <v>1428.32</v>
      </c>
      <c r="D26" s="42" t="str">
        <f>IF(Inflation_Derived_Parameters[[#This Row],[New Value]] &gt; Inflation_Derived_Parameters[[#This Row],[Current Value]], "Y", "N")</f>
        <v>Y</v>
      </c>
      <c r="E26" s="45">
        <f t="shared" ref="E26:E30" si="0">ROUNDUP(E25 + E7 * (B26 - B25) / 1000000, 0)</f>
        <v>1429</v>
      </c>
    </row>
    <row r="27" spans="1:5" x14ac:dyDescent="0.25">
      <c r="A27" t="s">
        <v>80</v>
      </c>
      <c r="B27" s="44">
        <v>25000000</v>
      </c>
      <c r="C27" s="45">
        <v>3114.26</v>
      </c>
      <c r="D27" s="42" t="str">
        <f>IF(Inflation_Derived_Parameters[[#This Row],[New Value]] &gt; Inflation_Derived_Parameters[[#This Row],[Current Value]], "Y", "N")</f>
        <v>Y</v>
      </c>
      <c r="E27" s="45">
        <f t="shared" si="0"/>
        <v>3115</v>
      </c>
    </row>
    <row r="28" spans="1:5" x14ac:dyDescent="0.25">
      <c r="A28" t="s">
        <v>81</v>
      </c>
      <c r="B28" s="44">
        <v>100000000</v>
      </c>
      <c r="C28" s="45">
        <v>5643.7</v>
      </c>
      <c r="D28" s="42" t="str">
        <f>IF(Inflation_Derived_Parameters[[#This Row],[New Value]] &gt; Inflation_Derived_Parameters[[#This Row],[Current Value]], "Y", "N")</f>
        <v>Y</v>
      </c>
      <c r="E28" s="45">
        <f t="shared" si="0"/>
        <v>5644</v>
      </c>
    </row>
    <row r="29" spans="1:5" x14ac:dyDescent="0.25">
      <c r="A29" t="s">
        <v>82</v>
      </c>
      <c r="B29" s="44">
        <v>500000000</v>
      </c>
      <c r="C29" s="45">
        <v>13735.33</v>
      </c>
      <c r="D29" s="42" t="str">
        <f>IF(Inflation_Derived_Parameters[[#This Row],[New Value]] &gt; Inflation_Derived_Parameters[[#This Row],[Current Value]], "Y", "N")</f>
        <v>Y</v>
      </c>
      <c r="E29" s="45">
        <f t="shared" si="0"/>
        <v>13736</v>
      </c>
    </row>
    <row r="30" spans="1:5" x14ac:dyDescent="0.25">
      <c r="A30" t="s">
        <v>83</v>
      </c>
      <c r="B30" s="44">
        <v>2000000000</v>
      </c>
      <c r="C30" s="45">
        <v>39024.39</v>
      </c>
      <c r="D30" s="42" t="str">
        <f>IF(Inflation_Derived_Parameters[[#This Row],[New Value]] &gt; Inflation_Derived_Parameters[[#This Row],[Current Value]], "Y", "N")</f>
        <v>Y</v>
      </c>
      <c r="E30" s="45">
        <f t="shared" si="0"/>
        <v>39026</v>
      </c>
    </row>
    <row r="31" spans="1:5" x14ac:dyDescent="0.25">
      <c r="A31" t="s">
        <v>84</v>
      </c>
      <c r="B31" s="44">
        <v>0</v>
      </c>
      <c r="C31" s="45">
        <v>185.45</v>
      </c>
      <c r="D31" s="42" t="str">
        <f>IF(Inflation_Derived_Parameters[[#This Row],[New Value]] &gt; Inflation_Derived_Parameters[[#This Row],[Current Value]], "Y", "N")</f>
        <v>N</v>
      </c>
      <c r="E31" s="45">
        <f t="shared" ref="E31:E37" si="1">ROUND(E6 * Processor_to_Trader_Conversion, 2)</f>
        <v>185.45</v>
      </c>
    </row>
    <row r="32" spans="1:5" x14ac:dyDescent="0.25">
      <c r="A32" t="s">
        <v>85</v>
      </c>
      <c r="B32" s="44">
        <v>1000000</v>
      </c>
      <c r="C32" s="45">
        <v>60.7</v>
      </c>
      <c r="D32" s="42" t="str">
        <f>IF(Inflation_Derived_Parameters[[#This Row],[New Value]] &gt; Inflation_Derived_Parameters[[#This Row],[Current Value]], "Y", "N")</f>
        <v>N</v>
      </c>
      <c r="E32" s="45">
        <f t="shared" si="1"/>
        <v>60.69</v>
      </c>
    </row>
    <row r="33" spans="1:5" x14ac:dyDescent="0.25">
      <c r="A33" t="s">
        <v>86</v>
      </c>
      <c r="B33" s="44">
        <v>5000000</v>
      </c>
      <c r="C33" s="45">
        <v>25.29</v>
      </c>
      <c r="D33" s="42" t="str">
        <f>IF(Inflation_Derived_Parameters[[#This Row],[New Value]] &gt; Inflation_Derived_Parameters[[#This Row],[Current Value]], "Y", "N")</f>
        <v>N</v>
      </c>
      <c r="E33" s="45">
        <f t="shared" si="1"/>
        <v>25.29</v>
      </c>
    </row>
    <row r="34" spans="1:5" x14ac:dyDescent="0.25">
      <c r="A34" t="s">
        <v>87</v>
      </c>
      <c r="B34" s="44">
        <v>25000000</v>
      </c>
      <c r="C34" s="45">
        <v>10.119999999999999</v>
      </c>
      <c r="D34" s="42" t="str">
        <f>IF(Inflation_Derived_Parameters[[#This Row],[New Value]] &gt; Inflation_Derived_Parameters[[#This Row],[Current Value]], "Y", "N")</f>
        <v>N</v>
      </c>
      <c r="E34" s="45">
        <f t="shared" si="1"/>
        <v>10.119999999999999</v>
      </c>
    </row>
    <row r="35" spans="1:5" x14ac:dyDescent="0.25">
      <c r="A35" t="s">
        <v>88</v>
      </c>
      <c r="B35" s="44">
        <v>100000000</v>
      </c>
      <c r="C35" s="45">
        <v>6.07</v>
      </c>
      <c r="D35" s="42" t="str">
        <f>IF(Inflation_Derived_Parameters[[#This Row],[New Value]] &gt; Inflation_Derived_Parameters[[#This Row],[Current Value]], "Y", "N")</f>
        <v>N</v>
      </c>
      <c r="E35" s="45">
        <f t="shared" si="1"/>
        <v>6.07</v>
      </c>
    </row>
    <row r="36" spans="1:5" x14ac:dyDescent="0.25">
      <c r="A36" t="s">
        <v>89</v>
      </c>
      <c r="B36" s="44">
        <v>500000000</v>
      </c>
      <c r="C36" s="45">
        <v>5.05</v>
      </c>
      <c r="D36" s="42" t="str">
        <f>IF(Inflation_Derived_Parameters[[#This Row],[New Value]] &gt; Inflation_Derived_Parameters[[#This Row],[Current Value]], "Y", "N")</f>
        <v>Y</v>
      </c>
      <c r="E36" s="45">
        <f t="shared" si="1"/>
        <v>5.0599999999999996</v>
      </c>
    </row>
    <row r="37" spans="1:5" x14ac:dyDescent="0.25">
      <c r="A37" t="s">
        <v>90</v>
      </c>
      <c r="B37" s="44">
        <v>2000000000</v>
      </c>
      <c r="C37" s="45">
        <v>4.22</v>
      </c>
      <c r="D37" s="42" t="str">
        <f>IF(Inflation_Derived_Parameters[[#This Row],[New Value]] &gt; Inflation_Derived_Parameters[[#This Row],[Current Value]], "Y", "N")</f>
        <v>N</v>
      </c>
      <c r="E37" s="45">
        <f t="shared" si="1"/>
        <v>4.22</v>
      </c>
    </row>
    <row r="38" spans="1:5" x14ac:dyDescent="0.25">
      <c r="A38" t="s">
        <v>91</v>
      </c>
      <c r="B38" s="44">
        <v>0</v>
      </c>
      <c r="C38" s="45">
        <v>0</v>
      </c>
      <c r="D38" s="42" t="str">
        <f>IF(Inflation_Derived_Parameters[[#This Row],[New Value]] &gt; Inflation_Derived_Parameters[[#This Row],[Current Value]], "Y", "N")</f>
        <v>N</v>
      </c>
      <c r="E38" s="45">
        <v>0</v>
      </c>
    </row>
    <row r="39" spans="1:5" x14ac:dyDescent="0.25">
      <c r="A39" t="s">
        <v>92</v>
      </c>
      <c r="B39" s="44">
        <v>1000000</v>
      </c>
      <c r="C39" s="45">
        <v>185.88</v>
      </c>
      <c r="D39" s="42" t="str">
        <f>IF(Inflation_Derived_Parameters[[#This Row],[New Value]] &gt; Inflation_Derived_Parameters[[#This Row],[Current Value]], "Y", "N")</f>
        <v>Y</v>
      </c>
      <c r="E39" s="45">
        <f>ROUNDUP(E38 + E31 * (B39 - B38) / 1000000, 0)</f>
        <v>186</v>
      </c>
    </row>
    <row r="40" spans="1:5" x14ac:dyDescent="0.25">
      <c r="A40" t="s">
        <v>93</v>
      </c>
      <c r="B40" s="44">
        <v>5000000</v>
      </c>
      <c r="C40" s="45">
        <v>429.37</v>
      </c>
      <c r="D40" s="42" t="str">
        <f>IF(Inflation_Derived_Parameters[[#This Row],[New Value]] &gt; Inflation_Derived_Parameters[[#This Row],[Current Value]], "Y", "N")</f>
        <v>N</v>
      </c>
      <c r="E40" s="45">
        <f t="shared" ref="E40:E44" si="2">ROUNDUP(E39 + E32 * (B40 - B39) / 1000000, 0)</f>
        <v>429</v>
      </c>
    </row>
    <row r="41" spans="1:5" x14ac:dyDescent="0.25">
      <c r="A41" t="s">
        <v>94</v>
      </c>
      <c r="B41" s="44">
        <v>25000000</v>
      </c>
      <c r="C41" s="45">
        <v>935.90700000000004</v>
      </c>
      <c r="D41" s="42" t="str">
        <f>IF(Inflation_Derived_Parameters[[#This Row],[New Value]] &gt; Inflation_Derived_Parameters[[#This Row],[Current Value]], "Y", "N")</f>
        <v>N</v>
      </c>
      <c r="E41" s="45">
        <f t="shared" si="2"/>
        <v>935</v>
      </c>
    </row>
    <row r="42" spans="1:5" x14ac:dyDescent="0.25">
      <c r="A42" t="s">
        <v>95</v>
      </c>
      <c r="B42" s="44">
        <v>100000000</v>
      </c>
      <c r="C42" s="45">
        <v>1695.72</v>
      </c>
      <c r="D42" s="42" t="str">
        <f>IF(Inflation_Derived_Parameters[[#This Row],[New Value]] &gt; Inflation_Derived_Parameters[[#This Row],[Current Value]], "Y", "N")</f>
        <v>N</v>
      </c>
      <c r="E42" s="45">
        <f t="shared" si="2"/>
        <v>1694</v>
      </c>
    </row>
    <row r="43" spans="1:5" x14ac:dyDescent="0.25">
      <c r="A43" t="s">
        <v>96</v>
      </c>
      <c r="B43" s="44">
        <v>500000000</v>
      </c>
      <c r="C43" s="45">
        <v>4121.8999999999996</v>
      </c>
      <c r="D43" s="42" t="str">
        <f>IF(Inflation_Derived_Parameters[[#This Row],[New Value]] &gt; Inflation_Derived_Parameters[[#This Row],[Current Value]], "Y", "N")</f>
        <v>Y</v>
      </c>
      <c r="E43" s="45">
        <f t="shared" si="2"/>
        <v>4122</v>
      </c>
    </row>
    <row r="44" spans="1:5" x14ac:dyDescent="0.25">
      <c r="A44" t="s">
        <v>97</v>
      </c>
      <c r="B44" s="44">
        <v>2000000000</v>
      </c>
      <c r="C44" s="45">
        <v>11703.728999999999</v>
      </c>
      <c r="D44" s="42" t="str">
        <f>IF(Inflation_Derived_Parameters[[#This Row],[New Value]] &gt; Inflation_Derived_Parameters[[#This Row],[Current Value]], "Y", "N")</f>
        <v>Y</v>
      </c>
      <c r="E44" s="45">
        <f t="shared" si="2"/>
        <v>11712</v>
      </c>
    </row>
    <row r="45" spans="1:5" x14ac:dyDescent="0.25">
      <c r="A45" t="s">
        <v>101</v>
      </c>
      <c r="B45" s="44">
        <v>0</v>
      </c>
      <c r="C45" s="45">
        <f>ROUNDUP(AVERAGE(C25:C26), 0)</f>
        <v>1024</v>
      </c>
      <c r="D45" s="42" t="str">
        <f>IF(Inflation_Derived_Parameters[[#This Row],[New Value]] &gt; Inflation_Derived_Parameters[[#This Row],[Current Value]], "Y", "N")</f>
        <v>N</v>
      </c>
      <c r="E45" s="45">
        <f>ROUNDUP(AVERAGE(E25:E26), 0)</f>
        <v>1024</v>
      </c>
    </row>
    <row r="46" spans="1:5" x14ac:dyDescent="0.25">
      <c r="A46" t="s">
        <v>102</v>
      </c>
      <c r="B46" s="44">
        <v>1000000</v>
      </c>
      <c r="C46" s="45">
        <f t="shared" ref="C46:E49" si="3">ROUNDUP(AVERAGE(C26:C27), 0)</f>
        <v>2272</v>
      </c>
      <c r="D46" s="42" t="str">
        <f>IF(Inflation_Derived_Parameters[[#This Row],[New Value]] &gt; Inflation_Derived_Parameters[[#This Row],[Current Value]], "Y", "N")</f>
        <v>N</v>
      </c>
      <c r="E46" s="45">
        <f t="shared" si="3"/>
        <v>2272</v>
      </c>
    </row>
    <row r="47" spans="1:5" x14ac:dyDescent="0.25">
      <c r="A47" t="s">
        <v>103</v>
      </c>
      <c r="B47" s="44">
        <v>5000000</v>
      </c>
      <c r="C47" s="45">
        <f t="shared" si="3"/>
        <v>4379</v>
      </c>
      <c r="D47" s="42" t="str">
        <f>IF(Inflation_Derived_Parameters[[#This Row],[New Value]] &gt; Inflation_Derived_Parameters[[#This Row],[Current Value]], "Y", "N")</f>
        <v>Y</v>
      </c>
      <c r="E47" s="45">
        <f t="shared" si="3"/>
        <v>4380</v>
      </c>
    </row>
    <row r="48" spans="1:5" x14ac:dyDescent="0.25">
      <c r="A48" t="s">
        <v>104</v>
      </c>
      <c r="B48" s="44">
        <v>25000000</v>
      </c>
      <c r="C48" s="45">
        <f t="shared" si="3"/>
        <v>9690</v>
      </c>
      <c r="D48" s="42" t="str">
        <f>IF(Inflation_Derived_Parameters[[#This Row],[New Value]] &gt; Inflation_Derived_Parameters[[#This Row],[Current Value]], "Y", "N")</f>
        <v>N</v>
      </c>
      <c r="E48" s="45">
        <f t="shared" si="3"/>
        <v>9690</v>
      </c>
    </row>
    <row r="49" spans="1:5" x14ac:dyDescent="0.25">
      <c r="A49" t="s">
        <v>105</v>
      </c>
      <c r="B49" s="44">
        <v>100000000</v>
      </c>
      <c r="C49" s="45">
        <f t="shared" si="3"/>
        <v>26380</v>
      </c>
      <c r="D49" s="42" t="str">
        <f>IF(Inflation_Derived_Parameters[[#This Row],[New Value]] &gt; Inflation_Derived_Parameters[[#This Row],[Current Value]], "Y", "N")</f>
        <v>Y</v>
      </c>
      <c r="E49" s="45">
        <f t="shared" si="3"/>
        <v>26381</v>
      </c>
    </row>
    <row r="50" spans="1:5" x14ac:dyDescent="0.25">
      <c r="A50" t="s">
        <v>106</v>
      </c>
      <c r="B50" s="44">
        <v>500000000</v>
      </c>
      <c r="C50" s="45">
        <f>ROUNDUP(C30 + 4000000000 / 1000000 * C12, 0)</f>
        <v>95225</v>
      </c>
      <c r="D50" s="42" t="str">
        <f>IF(Inflation_Derived_Parameters[[#This Row],[New Value]] &gt; Inflation_Derived_Parameters[[#This Row],[Current Value]], "Y", "N")</f>
        <v>Y</v>
      </c>
      <c r="E50" s="45">
        <f>ROUNDUP(E30 + 4000000000 / 1000000 * E12, 0)</f>
        <v>95226</v>
      </c>
    </row>
    <row r="51" spans="1:5" x14ac:dyDescent="0.25">
      <c r="A51" t="s">
        <v>107</v>
      </c>
      <c r="B51" s="44">
        <v>2000000000</v>
      </c>
      <c r="C51" s="45">
        <f>ROUNDUP(C30 + 8000000000 / 1000000 * C12, 0)</f>
        <v>151425</v>
      </c>
      <c r="D51" s="42" t="str">
        <f>IF(Inflation_Derived_Parameters[[#This Row],[New Value]] &gt; Inflation_Derived_Parameters[[#This Row],[Current Value]], "Y", "N")</f>
        <v>Y</v>
      </c>
      <c r="E51" s="45">
        <f>ROUNDUP(E30 + 8000000000 / 1000000 * E12, 0)</f>
        <v>151426</v>
      </c>
    </row>
    <row r="52" spans="1:5" x14ac:dyDescent="0.25">
      <c r="A52" t="s">
        <v>108</v>
      </c>
      <c r="B52" s="44">
        <v>0</v>
      </c>
      <c r="C52" s="45">
        <f>ROUNDUP(AVERAGE(C39:C40), 0)</f>
        <v>308</v>
      </c>
      <c r="D52" s="42" t="str">
        <f>IF(Inflation_Derived_Parameters[[#This Row],[New Value]] &gt; Inflation_Derived_Parameters[[#This Row],[Current Value]], "Y", "N")</f>
        <v>N</v>
      </c>
      <c r="E52" s="45">
        <f>ROUNDUP(AVERAGE(E39:E40), 0)</f>
        <v>308</v>
      </c>
    </row>
    <row r="53" spans="1:5" x14ac:dyDescent="0.25">
      <c r="A53" t="s">
        <v>109</v>
      </c>
      <c r="B53" s="44">
        <v>1000000</v>
      </c>
      <c r="C53" s="45">
        <f t="shared" ref="C53:E56" si="4">ROUNDUP(AVERAGE(C40:C41), 0)</f>
        <v>683</v>
      </c>
      <c r="D53" s="42" t="str">
        <f>IF(Inflation_Derived_Parameters[[#This Row],[New Value]] &gt; Inflation_Derived_Parameters[[#This Row],[Current Value]], "Y", "N")</f>
        <v>N</v>
      </c>
      <c r="E53" s="45">
        <f t="shared" si="4"/>
        <v>682</v>
      </c>
    </row>
    <row r="54" spans="1:5" x14ac:dyDescent="0.25">
      <c r="A54" t="s">
        <v>110</v>
      </c>
      <c r="B54" s="44">
        <v>5000000</v>
      </c>
      <c r="C54" s="45">
        <f t="shared" si="4"/>
        <v>1316</v>
      </c>
      <c r="D54" s="42" t="str">
        <f>IF(Inflation_Derived_Parameters[[#This Row],[New Value]] &gt; Inflation_Derived_Parameters[[#This Row],[Current Value]], "Y", "N")</f>
        <v>N</v>
      </c>
      <c r="E54" s="45">
        <f t="shared" si="4"/>
        <v>1315</v>
      </c>
    </row>
    <row r="55" spans="1:5" x14ac:dyDescent="0.25">
      <c r="A55" t="s">
        <v>111</v>
      </c>
      <c r="B55" s="44">
        <v>25000000</v>
      </c>
      <c r="C55" s="45">
        <f t="shared" si="4"/>
        <v>2909</v>
      </c>
      <c r="D55" s="42" t="str">
        <f>IF(Inflation_Derived_Parameters[[#This Row],[New Value]] &gt; Inflation_Derived_Parameters[[#This Row],[Current Value]], "Y", "N")</f>
        <v>N</v>
      </c>
      <c r="E55" s="45">
        <f t="shared" si="4"/>
        <v>2908</v>
      </c>
    </row>
    <row r="56" spans="1:5" x14ac:dyDescent="0.25">
      <c r="A56" t="s">
        <v>112</v>
      </c>
      <c r="B56" s="44">
        <v>100000000</v>
      </c>
      <c r="C56" s="45">
        <f t="shared" si="4"/>
        <v>7913</v>
      </c>
      <c r="D56" s="42" t="str">
        <f>IF(Inflation_Derived_Parameters[[#This Row],[New Value]] &gt; Inflation_Derived_Parameters[[#This Row],[Current Value]], "Y", "N")</f>
        <v>Y</v>
      </c>
      <c r="E56" s="45">
        <f t="shared" si="4"/>
        <v>7917</v>
      </c>
    </row>
    <row r="57" spans="1:5" x14ac:dyDescent="0.25">
      <c r="A57" t="s">
        <v>113</v>
      </c>
      <c r="B57" s="44">
        <v>500000000</v>
      </c>
      <c r="C57" s="45">
        <f>ROUNDUP(C44 + 4000000000 / 1000000 * C37, 0)</f>
        <v>28584</v>
      </c>
      <c r="D57" s="42" t="str">
        <f>IF(Inflation_Derived_Parameters[[#This Row],[New Value]] &gt; Inflation_Derived_Parameters[[#This Row],[Current Value]], "Y", "N")</f>
        <v>Y</v>
      </c>
      <c r="E57" s="45">
        <f>ROUNDUP(E44 + 4000000000 / 1000000 * E37, 0)</f>
        <v>28592</v>
      </c>
    </row>
    <row r="58" spans="1:5" x14ac:dyDescent="0.25">
      <c r="A58" t="s">
        <v>114</v>
      </c>
      <c r="B58" s="44">
        <v>2000000000</v>
      </c>
      <c r="C58" s="45">
        <f>ROUNDUP(C44 + 8000000000 / 1000000 * C37, 0)</f>
        <v>45464</v>
      </c>
      <c r="D58" s="42" t="str">
        <f>IF(Inflation_Derived_Parameters[[#This Row],[New Value]] &gt; Inflation_Derived_Parameters[[#This Row],[Current Value]], "Y", "N")</f>
        <v>Y</v>
      </c>
      <c r="E58" s="45">
        <f>ROUNDUP(E44 + 8000000000 / 1000000 * E37, 0)</f>
        <v>45472</v>
      </c>
    </row>
    <row r="59" spans="1:5" x14ac:dyDescent="0.25">
      <c r="C59" s="45"/>
      <c r="D59" s="42"/>
      <c r="E59" s="45"/>
    </row>
    <row r="60" spans="1:5" x14ac:dyDescent="0.25">
      <c r="C60" s="45"/>
      <c r="D60" s="42"/>
      <c r="E60" s="45"/>
    </row>
    <row r="61" spans="1:5" x14ac:dyDescent="0.25">
      <c r="C61" s="45"/>
      <c r="D61" s="42"/>
      <c r="E61" s="45"/>
    </row>
    <row r="62" spans="1:5" x14ac:dyDescent="0.25">
      <c r="C62" s="45"/>
      <c r="D62" s="42"/>
      <c r="E62" s="45"/>
    </row>
    <row r="63" spans="1:5" x14ac:dyDescent="0.25">
      <c r="C63" s="45"/>
      <c r="D63" s="42"/>
      <c r="E63" s="45"/>
    </row>
    <row r="64" spans="1:5" x14ac:dyDescent="0.25">
      <c r="C64" s="45"/>
      <c r="D64" s="42"/>
      <c r="E64" s="45"/>
    </row>
    <row r="65" spans="3:5" x14ac:dyDescent="0.25">
      <c r="C65" s="45"/>
      <c r="D65" s="42"/>
      <c r="E65" s="45"/>
    </row>
    <row r="66" spans="3:5" x14ac:dyDescent="0.25">
      <c r="C66" s="45"/>
      <c r="D66" s="42"/>
      <c r="E66" s="45"/>
    </row>
    <row r="67" spans="3:5" x14ac:dyDescent="0.25">
      <c r="C67" s="45"/>
      <c r="D67" s="42"/>
      <c r="E67" s="45"/>
    </row>
    <row r="68" spans="3:5" x14ac:dyDescent="0.25">
      <c r="C68" s="45"/>
      <c r="D68" s="42"/>
      <c r="E68" s="45"/>
    </row>
    <row r="69" spans="3:5" x14ac:dyDescent="0.25">
      <c r="C69" s="45"/>
      <c r="D69" s="42"/>
      <c r="E69" s="45"/>
    </row>
    <row r="70" spans="3:5" x14ac:dyDescent="0.25">
      <c r="C70" s="45"/>
      <c r="D70" s="42"/>
      <c r="E70" s="45"/>
    </row>
  </sheetData>
  <phoneticPr fontId="6" type="noConversion"/>
  <dataValidations disablePrompts="1" count="1">
    <dataValidation type="list" allowBlank="1" showInputMessage="1" showErrorMessage="1" sqref="D6:D17" xr:uid="{94D282E7-6A50-4981-9B30-77D6CEED3A37}">
      <formula1>"Y, N"</formula1>
    </dataValidation>
  </dataValidations>
  <pageMargins left="0.7" right="0.7" top="0.75" bottom="0.75" header="0.3" footer="0.3"/>
  <pageSetup paperSize="9"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5ADED93E827F4F89393A9CC95A67FB" ma:contentTypeVersion="15" ma:contentTypeDescription="Create a new document." ma:contentTypeScope="" ma:versionID="a3b8f07a63ec45a1002d11a2017eb673">
  <xsd:schema xmlns:xsd="http://www.w3.org/2001/XMLSchema" xmlns:xs="http://www.w3.org/2001/XMLSchema" xmlns:p="http://schemas.microsoft.com/office/2006/metadata/properties" xmlns:ns2="c76671b1-d8e8-4308-9e07-2bbe109bc3a6" xmlns:ns3="df56c91f-4e7c-4aae-b866-e69590add728" targetNamespace="http://schemas.microsoft.com/office/2006/metadata/properties" ma:root="true" ma:fieldsID="ea15165757d2ee42850463a6862b585e" ns2:_="" ns3:_="">
    <xsd:import namespace="c76671b1-d8e8-4308-9e07-2bbe109bc3a6"/>
    <xsd:import namespace="df56c91f-4e7c-4aae-b866-e69590add72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6671b1-d8e8-4308-9e07-2bbe109bc3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2cac1bc-b845-4316-a757-d4fa565f3c4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56c91f-4e7c-4aae-b866-e69590add72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df56c91f-4e7c-4aae-b866-e69590add728">
      <UserInfo>
        <DisplayName>Jade Cassidy</DisplayName>
        <AccountId>13</AccountId>
        <AccountType/>
      </UserInfo>
      <UserInfo>
        <DisplayName>Jonathan Mattimoe</DisplayName>
        <AccountId>11</AccountId>
        <AccountType/>
      </UserInfo>
    </SharedWithUsers>
    <lcf76f155ced4ddcb4097134ff3c332f xmlns="c76671b1-d8e8-4308-9e07-2bbe109bc3a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A6317B-BCB2-4233-8525-7911876337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6671b1-d8e8-4308-9e07-2bbe109bc3a6"/>
    <ds:schemaRef ds:uri="df56c91f-4e7c-4aae-b866-e69590add7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C76D61-400A-4198-9E6A-E58906E558DE}">
  <ds:schemaRefs>
    <ds:schemaRef ds:uri="http://schemas.microsoft.com/office/2006/metadata/properties"/>
    <ds:schemaRef ds:uri="http://www.w3.org/XML/1998/namespace"/>
    <ds:schemaRef ds:uri="cb1a69d6-7238-4bc4-a012-331f5ccf8d60"/>
    <ds:schemaRef ds:uri="http://schemas.microsoft.com/office/infopath/2007/PartnerControls"/>
    <ds:schemaRef ds:uri="http://schemas.microsoft.com/office/2006/documentManagement/types"/>
    <ds:schemaRef ds:uri="http://purl.org/dc/terms/"/>
    <ds:schemaRef ds:uri="http://purl.org/dc/elements/1.1/"/>
    <ds:schemaRef ds:uri="http://schemas.openxmlformats.org/package/2006/metadata/core-properties"/>
    <ds:schemaRef ds:uri="b88ac1c6-6389-40a6-8f7e-c38681aa5506"/>
    <ds:schemaRef ds:uri="http://purl.org/dc/dcmitype/"/>
    <ds:schemaRef ds:uri="df56c91f-4e7c-4aae-b866-e69590add728"/>
    <ds:schemaRef ds:uri="c76671b1-d8e8-4308-9e07-2bbe109bc3a6"/>
  </ds:schemaRefs>
</ds:datastoreItem>
</file>

<file path=customXml/itemProps3.xml><?xml version="1.0" encoding="utf-8"?>
<ds:datastoreItem xmlns:ds="http://schemas.openxmlformats.org/officeDocument/2006/customXml" ds:itemID="{D822B984-7E81-44DC-97F8-55B2281E59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4</vt:i4>
      </vt:variant>
      <vt:variant>
        <vt:lpstr>命名范围</vt:lpstr>
      </vt:variant>
      <vt:variant>
        <vt:i4>15</vt:i4>
      </vt:variant>
    </vt:vector>
  </HeadingPairs>
  <TitlesOfParts>
    <vt:vector size="19" baseType="lpstr">
      <vt:lpstr>Disclaimer</vt:lpstr>
      <vt:lpstr>Instructions</vt:lpstr>
      <vt:lpstr>Basic Calculator</vt:lpstr>
      <vt:lpstr>Inflation</vt:lpstr>
      <vt:lpstr>'Basic Calculator'!AAF_Class</vt:lpstr>
      <vt:lpstr>'Basic Calculator'!Additional_AAF_New</vt:lpstr>
      <vt:lpstr>'Basic Calculator'!Base_Cost_New</vt:lpstr>
      <vt:lpstr>Base_Costs_Lookup</vt:lpstr>
      <vt:lpstr>'Basic Calculator'!CH_Turnover</vt:lpstr>
      <vt:lpstr>'Basic Calculator'!Class_Base_Turnover_New</vt:lpstr>
      <vt:lpstr>Class_Numbers</vt:lpstr>
      <vt:lpstr>CoC_Cert_Types</vt:lpstr>
      <vt:lpstr>'Basic Calculator'!CoC_Type</vt:lpstr>
      <vt:lpstr>COC_Type_Index</vt:lpstr>
      <vt:lpstr>Inflation_Rate</vt:lpstr>
      <vt:lpstr>Min_CoC_Fee</vt:lpstr>
      <vt:lpstr>Processor_to_Trader_Conversion</vt:lpstr>
      <vt:lpstr>Turnover_Bands_Min</vt:lpstr>
      <vt:lpstr>Variable_Costs_Lookup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Ball</dc:creator>
  <cp:lastModifiedBy>Jianfang Sun</cp:lastModifiedBy>
  <dcterms:created xsi:type="dcterms:W3CDTF">2021-07-14T12:35:22Z</dcterms:created>
  <dcterms:modified xsi:type="dcterms:W3CDTF">2023-10-31T08:13:36Z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0x010100E65ADED93E827F4F89393A9CC95A67FB</vt:lpwstr>
  </property>
  <property fmtid="{D5CDD505-2E9C-101B-9397-08002B2CF9AE}" pid="3" name="MediaServiceImageTags">
    <vt:lpwstr/>
  </property>
</Properties>
</file>